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26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58" visibility="visible"/>
  </bookViews>
  <sheets>
    <sheet name="CMO 2023 12-09-2022" sheetId="1" r:id="rId4"/>
    <sheet name="PEACE &amp; ORDER SUM 12-09-2022" sheetId="2" r:id="rId5"/>
    <sheet name="Aid To Component" sheetId="3" r:id="rId6"/>
    <sheet name="SP2023 12-09-2022" sheetId="4" r:id="rId7"/>
    <sheet name="CTO2023" sheetId="5" r:id="rId8"/>
    <sheet name="Assessor-FINAL" sheetId="6" r:id="rId9"/>
    <sheet name="ACCOUNTING 2023" sheetId="7" r:id="rId10"/>
    <sheet name="Budget FINAL" sheetId="8" r:id="rId11"/>
    <sheet name="CPDO-FINAL (2)" sheetId="9" r:id="rId12"/>
    <sheet name="CEO-FINAL" sheetId="10" r:id="rId13"/>
    <sheet name="LEP 20% RECAP FINAL" sheetId="11" r:id="rId14"/>
    <sheet name="CHO FINAL doctors" sheetId="12" r:id="rId15"/>
    <sheet name="LCR FINAL" sheetId="13" r:id="rId16"/>
    <sheet name="ADMINISTRATOR 2023" sheetId="14" r:id="rId17"/>
    <sheet name="Legal-AO" sheetId="15" r:id="rId18"/>
    <sheet name="Veterinary 2022" sheetId="16" r:id="rId19"/>
    <sheet name="CSWD 2023" sheetId="17" r:id="rId20"/>
    <sheet name="GSO Admin merge ao" sheetId="18" r:id="rId21"/>
    <sheet name="AGRI AO" sheetId="19" r:id="rId22"/>
    <sheet name="ENRO2023" sheetId="20" r:id="rId23"/>
    <sheet name="CDRRMO FINAL" sheetId="21" r:id="rId24"/>
    <sheet name="LDRRMF SUM 12-09-2022" sheetId="22" r:id="rId25"/>
    <sheet name="TOURISM 2023" sheetId="23" r:id="rId26"/>
    <sheet name="HRMO 2023" sheetId="24" r:id="rId27"/>
    <sheet name="MARKET 2023" sheetId="25" r:id="rId28"/>
    <sheet name="TERMINAL 2023" sheetId="26" r:id="rId29"/>
    <sheet name="SLAUGHETER 2023" sheetId="27" r:id="rId30"/>
    <sheet name="GENERAL FUND" sheetId="28" r:id="rId31"/>
    <sheet name="ECONOMIC ENT" sheetId="29" r:id="rId32"/>
  </sheets>
  <definedNames>
    <definedName name="_xlnm.Print_Titles" localSheetId="0">'CMO 2023 12-09-2022'!$1:$15</definedName>
    <definedName name="_xlnm.Print_Area" localSheetId="0">'CMO 2023 12-09-2022'!$A$1:$L$226</definedName>
    <definedName name="_xlnm.Print_Titles" localSheetId="1">'PEACE &amp; ORDER SUM 12-09-2022'!$1:$15</definedName>
    <definedName name="_xlnm.Print_Area" localSheetId="1">'PEACE &amp; ORDER SUM 12-09-2022'!$A$1:$L$44</definedName>
    <definedName name="_xlnm.Print_Titles" localSheetId="2">'Aid To Component'!$1:$15</definedName>
    <definedName name="_xlnm.Print_Area" localSheetId="2">'Aid To Component'!$A$1:$L$33</definedName>
    <definedName name="_xlnm.Print_Titles" localSheetId="3">'SP2023 12-09-2022'!$1:$15</definedName>
    <definedName name="_xlnm.Print_Area" localSheetId="3">'SP2023 12-09-2022'!$A$1:$L$240</definedName>
    <definedName name="_xlnm.Print_Titles" localSheetId="4">'CTO2023'!$1:$15</definedName>
    <definedName name="_xlnm.Print_Area" localSheetId="4">'CTO2023'!$A$1:$L$95</definedName>
    <definedName name="_xlnm.Print_Titles" localSheetId="5">'Assessor-FINAL'!$1:$15</definedName>
    <definedName name="_xlnm.Print_Area" localSheetId="5">'Assessor-FINAL'!$A$1:$L$71</definedName>
    <definedName name="_xlnm.Print_Titles" localSheetId="6">'ACCOUNTING 2023'!$1:$15</definedName>
    <definedName name="_xlnm.Print_Area" localSheetId="6">'ACCOUNTING 2023'!$A$1:$L$73</definedName>
    <definedName name="_xlnm.Print_Titles" localSheetId="7">'Budget FINAL'!$1:$15</definedName>
    <definedName name="_xlnm.Print_Area" localSheetId="7">'Budget FINAL'!$A$1:$L$74</definedName>
    <definedName name="_xlnm.Print_Titles" localSheetId="8">'CPDO-FINAL (2)'!$1:$15</definedName>
    <definedName name="_xlnm.Print_Area" localSheetId="8">'CPDO-FINAL (2)'!$A$1:$L$92</definedName>
    <definedName name="_xlnm.Print_Titles" localSheetId="9">'CEO-FINAL'!$1:$15</definedName>
    <definedName name="_xlnm.Print_Area" localSheetId="9">'CEO-FINAL'!$A$1:$L$150</definedName>
    <definedName name="_xlnm.Print_Titles" localSheetId="10">'LEP 20% RECAP FINAL'!$1:$15</definedName>
    <definedName name="_xlnm.Print_Area" localSheetId="10">'LEP 20% RECAP FINAL'!$A$1:$L$58</definedName>
    <definedName name="_xlnm.Print_Titles" localSheetId="11">'CHO FINAL doctors'!$1:$15</definedName>
    <definedName name="_xlnm.Print_Area" localSheetId="11">'CHO FINAL doctors'!$A$1:$L$321</definedName>
    <definedName name="_xlnm.Print_Titles" localSheetId="12">'LCR FINAL'!$1:$15</definedName>
    <definedName name="_xlnm.Print_Area" localSheetId="12">'LCR FINAL'!$A$1:$L$74</definedName>
    <definedName name="_xlnm.Print_Titles" localSheetId="13">'ADMINISTRATOR 2023'!$1:$15</definedName>
    <definedName name="_xlnm.Print_Area" localSheetId="13">'ADMINISTRATOR 2023'!$A$1:$L$68</definedName>
    <definedName name="_xlnm.Print_Titles" localSheetId="14">'Legal-AO'!$1:$15</definedName>
    <definedName name="_xlnm.Print_Area" localSheetId="14">'Legal-AO'!$A$1:$L$69</definedName>
    <definedName name="_xlnm.Print_Titles" localSheetId="15">'Veterinary 2022'!$1:$15</definedName>
    <definedName name="_xlnm.Print_Area" localSheetId="15">'Veterinary 2022'!$A$1:$L$115</definedName>
    <definedName name="_xlnm.Print_Titles" localSheetId="16">'CSWD 2023'!$1:$15</definedName>
    <definedName name="_xlnm.Print_Area" localSheetId="16">'CSWD 2023'!$A$1:$L$155</definedName>
    <definedName name="_xlnm.Print_Titles" localSheetId="17">'GSO Admin merge ao'!$1:$15</definedName>
    <definedName name="_xlnm.Print_Area" localSheetId="17">'GSO Admin merge ao'!$A$1:$L$113</definedName>
    <definedName name="_xlnm.Print_Titles" localSheetId="18">'AGRI AO'!$1:$15</definedName>
    <definedName name="_xlnm.Print_Area" localSheetId="18">'AGRI AO'!$A$1:$L$123</definedName>
    <definedName name="_xlnm.Print_Titles" localSheetId="19">'ENRO2023'!$1:$15</definedName>
    <definedName name="_xlnm.Print_Area" localSheetId="19">'ENRO2023'!$A$1:$L$124</definedName>
    <definedName name="_xlnm.Print_Titles" localSheetId="20">'CDRRMO FINAL'!$1:$15</definedName>
    <definedName name="_xlnm.Print_Area" localSheetId="20">'CDRRMO FINAL'!$A$1:$L$68</definedName>
    <definedName name="_xlnm.Print_Titles" localSheetId="21">'LDRRMF SUM 12-09-2022'!$1:$15</definedName>
    <definedName name="_xlnm.Print_Area" localSheetId="21">'LDRRMF SUM 12-09-2022'!$A$1:$L$52</definedName>
    <definedName name="_xlnm.Print_Titles" localSheetId="22">'TOURISM 2023'!$1:$15</definedName>
    <definedName name="_xlnm.Print_Area" localSheetId="22">'TOURISM 2023'!$A$1:$L$111</definedName>
    <definedName name="_xlnm.Print_Titles" localSheetId="23">'HRMO 2023'!$1:$15</definedName>
    <definedName name="_xlnm.Print_Area" localSheetId="23">'HRMO 2023'!$A$1:$L$69</definedName>
    <definedName name="_xlnm.Print_Titles" localSheetId="24">'MARKET 2023'!$1:$15</definedName>
    <definedName name="_xlnm.Print_Titles" localSheetId="25">'TERMINAL 2023'!$1:$15</definedName>
    <definedName name="_xlnm.Print_Area" localSheetId="25">'TERMINAL 2023'!$A$1:$L$72</definedName>
    <definedName name="_xlnm.Print_Titles" localSheetId="26">'SLAUGHETER 2023'!$1:$15</definedName>
    <definedName name="_xlnm.Print_Area" localSheetId="26">'SLAUGHETER 2023'!$A$1:$L$74</definedName>
    <definedName name="_xlnm.Print_Titles" localSheetId="27">'GENERAL FUND'!$1:$15</definedName>
    <definedName name="_xlnm.Print_Area" localSheetId="27">'GENERAL FUND'!$A$1:$L$127</definedName>
    <definedName name="_xlnm.Print_Titles" localSheetId="28">'ECONOMIC ENT'!$1:$15</definedName>
    <definedName name="_xlnm.Print_Area" localSheetId="28">'ECONOMIC ENT'!$A$1:$L$77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<sst xmlns="http://schemas.openxmlformats.org/spreadsheetml/2006/main" uniqueCount="870">
  <si>
    <t>FDPP Form 1a-Annual Budget Report, by Office of Department (DBM LBP Form No. 2)</t>
  </si>
  <si>
    <t>Note: This Form is to be filled-up or prepared by the Office or by Department separately. Thus, the Annual Budget shall be composed of separate sheets of this form per Office or Department.</t>
  </si>
  <si>
    <t>In addition, Form 1b-ABR, Summary must also be filled-up and submitted.</t>
  </si>
  <si>
    <t>PROGRAMMED APPROPRIATION AND OBLIGATION BY OBJECT OF EXPENDITURE</t>
  </si>
  <si>
    <t>REGION: Caraga</t>
  </si>
  <si>
    <t>CLENDAR YEAR:  2023</t>
  </si>
  <si>
    <t>PROVINCE: Surigao del Norte</t>
  </si>
  <si>
    <t>OFFICE: City Mayor's Office</t>
  </si>
  <si>
    <t>CITY/MUNICIPALITY: Surigao City</t>
  </si>
  <si>
    <t>Object of Expenditure</t>
  </si>
  <si>
    <t>Account Code</t>
  </si>
  <si>
    <t>Past Year                                                    (Actual)</t>
  </si>
  <si>
    <t xml:space="preserve">Current Year (Estimate)                                                                            </t>
  </si>
  <si>
    <t>Budget Year (Proposed)</t>
  </si>
  <si>
    <t>First Semester (Actual)</t>
  </si>
  <si>
    <t>Second Semester (Estimated)</t>
  </si>
  <si>
    <t>TOTAL</t>
  </si>
  <si>
    <t>[1]</t>
  </si>
  <si>
    <t>[2]</t>
  </si>
  <si>
    <t>[3]</t>
  </si>
  <si>
    <t>[4]</t>
  </si>
  <si>
    <t>[5]</t>
  </si>
  <si>
    <t>[6]</t>
  </si>
  <si>
    <t>[7]</t>
  </si>
  <si>
    <t>1.0 Current Operating Expenditures</t>
  </si>
  <si>
    <t>1.1 Personal Services</t>
  </si>
  <si>
    <t>Salaries and Wages - Regular</t>
  </si>
  <si>
    <t>5-01-01-010</t>
  </si>
  <si>
    <t>Personnel Economic Relief Allowance (PERA)</t>
  </si>
  <si>
    <t>5-01-02-010</t>
  </si>
  <si>
    <t>Representation Allowance (RA)</t>
  </si>
  <si>
    <t>5-01-02-020</t>
  </si>
  <si>
    <t>Transportation Allowance (TA)</t>
  </si>
  <si>
    <t>5-01-02-030</t>
  </si>
  <si>
    <t>Clothing/Uniform Allowance</t>
  </si>
  <si>
    <t>5-01-02-040</t>
  </si>
  <si>
    <t>Overtime and Night Pay</t>
  </si>
  <si>
    <t>5-01-02-130</t>
  </si>
  <si>
    <t>Year End Bonus</t>
  </si>
  <si>
    <t>5-01-02-140</t>
  </si>
  <si>
    <t>Cash Gift</t>
  </si>
  <si>
    <t>5-01-02-150</t>
  </si>
  <si>
    <t>Other Bonuses and Allowances</t>
  </si>
  <si>
    <t>5-01-02-990</t>
  </si>
  <si>
    <t>Mid-Year Bonus</t>
  </si>
  <si>
    <t>Productivity Enhancement Incentive (PEI)</t>
  </si>
  <si>
    <t>Retirement and Life Insurance Premiums</t>
  </si>
  <si>
    <t>5-01-03-010</t>
  </si>
  <si>
    <t>Pag-ibig Contributions</t>
  </si>
  <si>
    <t>5-01-03-020</t>
  </si>
  <si>
    <t>PhilHealth Contributions</t>
  </si>
  <si>
    <t>5-01-03-030</t>
  </si>
  <si>
    <t>Employees Compensation Insurance Premiums</t>
  </si>
  <si>
    <t>5-01-03-040</t>
  </si>
  <si>
    <t>Terminal Leave Benefits</t>
  </si>
  <si>
    <t>5-01-04-030</t>
  </si>
  <si>
    <t>Terminal Leave</t>
  </si>
  <si>
    <t>10 days Leave Monetization</t>
  </si>
  <si>
    <t>Other Personnel Benefits</t>
  </si>
  <si>
    <t>5-01-04-990</t>
  </si>
  <si>
    <t>Employee Loyalty Award and Retirement Incentive</t>
  </si>
  <si>
    <t>TOTAL PERSONAL SERVICES</t>
  </si>
  <si>
    <t>1.2 Maintenance &amp; Other Operating Expenses</t>
  </si>
  <si>
    <t>Travelling Expenses</t>
  </si>
  <si>
    <t>5-02-01-010</t>
  </si>
  <si>
    <t>Admin</t>
  </si>
  <si>
    <t>Project Monitoring &amp; Evaluation…</t>
  </si>
  <si>
    <t>Traffic Management</t>
  </si>
  <si>
    <t>Business Permit &amp; Licensing</t>
  </si>
  <si>
    <t>Livelihood Skills Training &amp; Productivity Dev't.</t>
  </si>
  <si>
    <t>BIDS &amp; Awards Committee</t>
  </si>
  <si>
    <t>City Security Unit</t>
  </si>
  <si>
    <t>Training Expenses</t>
  </si>
  <si>
    <t>5-02-02-010</t>
  </si>
  <si>
    <t>Capability Building &amp; Enhancement Program</t>
  </si>
  <si>
    <t>SUB-TOTAL MAINTENANCE &amp; OTHER OPERATING EXPENSES</t>
  </si>
  <si>
    <t>Office Supplies Expense</t>
  </si>
  <si>
    <t>5-02-03-010</t>
  </si>
  <si>
    <t>Administrative Coordination</t>
  </si>
  <si>
    <t>Fuel, Oil &amp; Lubricants Expenses</t>
  </si>
  <si>
    <t>5-02-03-090</t>
  </si>
  <si>
    <t>Other Supplies and Materials Expenses</t>
  </si>
  <si>
    <t>5-02-03-990</t>
  </si>
  <si>
    <t>Water Expenses</t>
  </si>
  <si>
    <t>5-02-04-010</t>
  </si>
  <si>
    <t>Luneta, Park &amp; Plaza</t>
  </si>
  <si>
    <t>Canlanipa Outpost</t>
  </si>
  <si>
    <t>All City Departments and Offices</t>
  </si>
  <si>
    <t>Electricity Expenses</t>
  </si>
  <si>
    <t>5-02-04-020</t>
  </si>
  <si>
    <t>PAGCOR Street Light</t>
  </si>
  <si>
    <t>Street Lights</t>
  </si>
  <si>
    <t>Luneta Park</t>
  </si>
  <si>
    <t>Postage and Courier Services</t>
  </si>
  <si>
    <t>5-02-05-010</t>
  </si>
  <si>
    <r>
      <t xml:space="preserve">Telephone Expenses Land Line </t>
    </r>
    <r>
      <rPr>
        <rFont val="Arial"/>
        <b val="false"/>
        <i val="false"/>
        <strike val="false"/>
        <color rgb="FF000000"/>
        <sz val="8"/>
        <u val="none"/>
      </rPr>
      <t xml:space="preserve">(inc'l long distance)</t>
    </r>
  </si>
  <si>
    <t>5-02-05-020</t>
  </si>
  <si>
    <t>Internet Subscription Expenses</t>
  </si>
  <si>
    <t>5-02-05-030</t>
  </si>
  <si>
    <t>Repair &amp; Maintenance - Machinery &amp; Equipment (Office Equip't.)</t>
  </si>
  <si>
    <t>5-02-13-050</t>
  </si>
  <si>
    <t>Repair &amp; Maintenance -Transportation Equipment</t>
  </si>
  <si>
    <t>5-02-13-060</t>
  </si>
  <si>
    <t>Motor Vehicle</t>
  </si>
  <si>
    <t>Spareparts Expenses</t>
  </si>
  <si>
    <t>Watercraft</t>
  </si>
  <si>
    <t>Subsidy to NGAs</t>
  </si>
  <si>
    <t>5-02-11-990</t>
  </si>
  <si>
    <t>Bureau of Fire Protection</t>
  </si>
  <si>
    <t>Commission on Election</t>
  </si>
  <si>
    <t>Register of Deeds</t>
  </si>
  <si>
    <t>Department of Agrarian Reform</t>
  </si>
  <si>
    <t>LGU-Equity on Special Dev't. Proj.-DAR Spots</t>
  </si>
  <si>
    <t>Commission on Audit</t>
  </si>
  <si>
    <t>Reg'l. Highway Patrol Unit (TMG)</t>
  </si>
  <si>
    <t>National Labor Relations Commission,</t>
  </si>
  <si>
    <t>Arbitration Branch #13</t>
  </si>
  <si>
    <t>Subsidy to Other Local Government Units (Barangays)</t>
  </si>
  <si>
    <t>5-02-14-030</t>
  </si>
  <si>
    <t>Subsidies - Others (Subsidy to NGOs)</t>
  </si>
  <si>
    <t>5-02-14-990</t>
  </si>
  <si>
    <t>National Red Cross</t>
  </si>
  <si>
    <t xml:space="preserve">Taxes, Duties, and Licenses </t>
  </si>
  <si>
    <t>5-02-16-010</t>
  </si>
  <si>
    <t>Fidelity Bond Premium</t>
  </si>
  <si>
    <t>5-02-16-020</t>
  </si>
  <si>
    <t>Insurance Expenses</t>
  </si>
  <si>
    <t>5-02-16-030</t>
  </si>
  <si>
    <t>GSIS Insurance for Government Buildings &amp; Vehicles</t>
  </si>
  <si>
    <t>Advertising Expenses</t>
  </si>
  <si>
    <t>5-02-99-010</t>
  </si>
  <si>
    <t>Development Information Dissimination Program</t>
  </si>
  <si>
    <t>Representation Expenses</t>
  </si>
  <si>
    <t>5-02-99-030</t>
  </si>
  <si>
    <t>Membership Dues &amp; Contribution to Organizations</t>
  </si>
  <si>
    <t>5-02-99-060</t>
  </si>
  <si>
    <t>RDC Contribution</t>
  </si>
  <si>
    <t>Contribution to League of Cities</t>
  </si>
  <si>
    <t>Union of Local Authorities of the Philippines</t>
  </si>
  <si>
    <t>Contribution to Hinatuan Passage Dev't. Alliance</t>
  </si>
  <si>
    <t>Donations</t>
  </si>
  <si>
    <t>5-02-99-080</t>
  </si>
  <si>
    <t>Other Maintenance &amp; Operating Expenses</t>
  </si>
  <si>
    <t>5-02-99-990</t>
  </si>
  <si>
    <t>Charter Day Celebration</t>
  </si>
  <si>
    <t>CDC Operational Support</t>
  </si>
  <si>
    <t>Presidential Visit &amp; Other Public Affairs</t>
  </si>
  <si>
    <t>Rizal Day Celebration</t>
  </si>
  <si>
    <t>Independence Day Celebration</t>
  </si>
  <si>
    <t>Funds for Conferences and Meetings</t>
  </si>
  <si>
    <t>Other Professional Services</t>
  </si>
  <si>
    <t>Support to Government Choir</t>
  </si>
  <si>
    <t>Support to Central Radio Communication Center</t>
  </si>
  <si>
    <t>Barangay Affairs Support Services</t>
  </si>
  <si>
    <t>Local Monitoring</t>
  </si>
  <si>
    <t>Executive Staff Support Services</t>
  </si>
  <si>
    <t>Other General  Services</t>
  </si>
  <si>
    <t>5-02-12-990</t>
  </si>
  <si>
    <t xml:space="preserve">    General Utility Services (Task Force)</t>
  </si>
  <si>
    <t xml:space="preserve">    Beautification of Luneta &amp; Public Places</t>
  </si>
  <si>
    <t>TOTAL MAINTENANCE &amp; OTHER OPERATING EXPENSES</t>
  </si>
  <si>
    <t>TOTAL CURRENT OPERATING EXPENDITURES</t>
  </si>
  <si>
    <t>1.3 Capital Outlay</t>
  </si>
  <si>
    <t>Office Equipment</t>
  </si>
  <si>
    <t>1-07-05-020</t>
  </si>
  <si>
    <t>BPLO</t>
  </si>
  <si>
    <t xml:space="preserve">Information &amp; Communication Technology Equipment </t>
  </si>
  <si>
    <t>1-07-05-030</t>
  </si>
  <si>
    <t>Other Transportation Equipment</t>
  </si>
  <si>
    <t>1-07-06-990</t>
  </si>
  <si>
    <t>Furniture &amp; Fixtures</t>
  </si>
  <si>
    <t>1-07-07-010</t>
  </si>
  <si>
    <t>TOTAL CAPITAL OUTLAY</t>
  </si>
  <si>
    <t>1.4 Financial Expense</t>
  </si>
  <si>
    <t>Interest Expenses</t>
  </si>
  <si>
    <t>Loans Payable - Domestic</t>
  </si>
  <si>
    <t>2-01-02-040</t>
  </si>
  <si>
    <t>5-03-01-020</t>
  </si>
  <si>
    <t>Other Financial Charges</t>
  </si>
  <si>
    <t>5-03-01-990</t>
  </si>
  <si>
    <t>TOTAL FINANCIAL EXPENSES</t>
  </si>
  <si>
    <t xml:space="preserve">TOTAL APPROPRIATION </t>
  </si>
  <si>
    <t>We hereby certify that we have reviewed the contents and hereby attest to the veracity and correctness of the data or information contained in this document.</t>
  </si>
  <si>
    <t>Prepared:</t>
  </si>
  <si>
    <t>Reviewed:</t>
  </si>
  <si>
    <t>Approved:</t>
  </si>
  <si>
    <t>PABLO YVES L. DUMLAO II</t>
  </si>
  <si>
    <t>ATTY. JEFFREY P. GALIDO</t>
  </si>
  <si>
    <t>City Mayor</t>
  </si>
  <si>
    <t>City Government Department Head I</t>
  </si>
  <si>
    <t>City Budget Officer</t>
  </si>
  <si>
    <t>CPOC</t>
  </si>
  <si>
    <t>Aid to Com. Brgy</t>
  </si>
  <si>
    <t>LYDO</t>
  </si>
  <si>
    <t xml:space="preserve">OFFICE: CMO - Peace and Order and Public Safety </t>
  </si>
  <si>
    <t>Program</t>
  </si>
  <si>
    <t>Maintenance and Other Operating Expenses</t>
  </si>
  <si>
    <t>Confidential Expenses</t>
  </si>
  <si>
    <t>5-02-10-010</t>
  </si>
  <si>
    <t>Subsidy to National Government Agencies</t>
  </si>
  <si>
    <t>5-02-14-020</t>
  </si>
  <si>
    <t>Subsidies to Other Local Government Units</t>
  </si>
  <si>
    <t>Subsidies - Others</t>
  </si>
  <si>
    <t>Other Maintenance and Operating Expenses</t>
  </si>
  <si>
    <t>Capital Outlay</t>
  </si>
  <si>
    <t>Power Supply Systems</t>
  </si>
  <si>
    <t>1-07-03-050</t>
  </si>
  <si>
    <t>Information and Communication Technology</t>
  </si>
  <si>
    <t>Military, Police and Security Equipment</t>
  </si>
  <si>
    <t>1-07-05-100</t>
  </si>
  <si>
    <t>Furniture and Fixtures</t>
  </si>
  <si>
    <t>TOTAL APPROPRIATION</t>
  </si>
  <si>
    <t>OFFICE: CMO - Aid to Component Barangays</t>
  </si>
  <si>
    <t>Maintenance &amp; Other Operating Expenses</t>
  </si>
  <si>
    <t xml:space="preserve"> Subsidy to Other Local Government Units</t>
  </si>
  <si>
    <t>OFFICE: Sangguniang Panlungsod</t>
  </si>
  <si>
    <t xml:space="preserve">  1.1 Personal Services</t>
  </si>
  <si>
    <t xml:space="preserve"> 1.2 Maintenance &amp; Other Operating Expense</t>
  </si>
  <si>
    <t>Vice Mayor</t>
  </si>
  <si>
    <t>1st Councilor</t>
  </si>
  <si>
    <t>2nd Councilor</t>
  </si>
  <si>
    <t>3rd Councilor</t>
  </si>
  <si>
    <t>4th Councilor</t>
  </si>
  <si>
    <t>5th Councilor</t>
  </si>
  <si>
    <t>6th Councilor</t>
  </si>
  <si>
    <t>7th Councilor</t>
  </si>
  <si>
    <t>8th Councilor</t>
  </si>
  <si>
    <t>9th Councilor</t>
  </si>
  <si>
    <t>10th Councilor</t>
  </si>
  <si>
    <t>ABC</t>
  </si>
  <si>
    <t>SK</t>
  </si>
  <si>
    <t>Secretary &amp; Staff</t>
  </si>
  <si>
    <t>Tricycle and Trisikad Franchising</t>
  </si>
  <si>
    <t>SUB TOTAL MAINTENANCE &amp; OTHER OPERATING EXPENSES</t>
  </si>
  <si>
    <t>Office Supplies Expenses</t>
  </si>
  <si>
    <t>Fuel, Oil and Lubricants Expenses</t>
  </si>
  <si>
    <t>Telephone Expenses (landline/mobile)</t>
  </si>
  <si>
    <t>Repair and Maintenance-Machinery and Equipment (Office Equipt.)</t>
  </si>
  <si>
    <t xml:space="preserve">Repair &amp; Maintenance - Transportation Equipment </t>
  </si>
  <si>
    <t>Taxes, Duties and Licenses</t>
  </si>
  <si>
    <t>Fidelity Bond Premiums</t>
  </si>
  <si>
    <t>Printing and Publication Expenses</t>
  </si>
  <si>
    <t>5-02-99-020</t>
  </si>
  <si>
    <t>Membership Dues and Contribution to Organization -</t>
  </si>
  <si>
    <t>Contribution to League of Vice Mayor</t>
  </si>
  <si>
    <t>Contribution to League of Councilors</t>
  </si>
  <si>
    <t>Operational Support to Legislative Services</t>
  </si>
  <si>
    <t>TOTAL CURRENT OPERATING EXPENSES</t>
  </si>
  <si>
    <t>Information &amp; Communication Technology Equipment</t>
  </si>
  <si>
    <t>Other Machinery and Equipment</t>
  </si>
  <si>
    <t>1-07-05-990</t>
  </si>
  <si>
    <t>Generator Set</t>
  </si>
  <si>
    <t>TOTAL APPROPRIATIONS</t>
  </si>
  <si>
    <t>ALFONSO S. CASURRA</t>
  </si>
  <si>
    <t>City Vice Mayor</t>
  </si>
  <si>
    <t>OFFICE: City Treasurer's Office</t>
  </si>
  <si>
    <t xml:space="preserve">    TOTAL PERSONAL SERVICES</t>
  </si>
  <si>
    <t xml:space="preserve"> 1.2 Maintenance and Other Operating Expenses</t>
  </si>
  <si>
    <t>City Cultural Center</t>
  </si>
  <si>
    <t>Accountable Forms Expenses</t>
  </si>
  <si>
    <t>5-02-03-020</t>
  </si>
  <si>
    <t>Other Supplies and Materials Expenses- Plates &amp; Sticker</t>
  </si>
  <si>
    <t>Postage &amp; Courier Services</t>
  </si>
  <si>
    <t xml:space="preserve">Telephone Expenses </t>
  </si>
  <si>
    <t>Repair &amp; Maintenance-Transportation Equipment</t>
  </si>
  <si>
    <t>Taxes, Duties and Licenses (Emission Test)</t>
  </si>
  <si>
    <t>Advertising Expenses (Information Dissimination prog)</t>
  </si>
  <si>
    <t>Printing &amp; Publication Expenses</t>
  </si>
  <si>
    <t>Membership Dues &amp; Contributions to Organizations</t>
  </si>
  <si>
    <t>Election Outlay</t>
  </si>
  <si>
    <t>Operational Support to Treasury Services</t>
  </si>
  <si>
    <t>Operational Support to Market Operations</t>
  </si>
  <si>
    <t xml:space="preserve">Operational Support for Maintenance of </t>
  </si>
  <si>
    <t>Multi-purpose Building</t>
  </si>
  <si>
    <t>Computer Software</t>
  </si>
  <si>
    <t>1-09-01-020</t>
  </si>
  <si>
    <t>NELSON S. ALCALA</t>
  </si>
  <si>
    <t>City Treasurer</t>
  </si>
  <si>
    <t>OFFICE: City Assessor's Office</t>
  </si>
  <si>
    <t>Salaries and Salaries - Regular</t>
  </si>
  <si>
    <t>5-02-02-130</t>
  </si>
  <si>
    <t>5-02-02-150</t>
  </si>
  <si>
    <t>Retirement &amp; Life Insurance Premiums</t>
  </si>
  <si>
    <t>Telephone Expenses Landline</t>
  </si>
  <si>
    <t xml:space="preserve">Repair &amp; Maintenance - Machinery and Equipment (Office Equip't.) </t>
  </si>
  <si>
    <t>Repairs &amp; Maintenance - Transportation Equipment (Motor Vehicle)</t>
  </si>
  <si>
    <t>Parcellary Survey &amp; Titling of Gov't. Lots</t>
  </si>
  <si>
    <t>Operational Support to Assessment Services</t>
  </si>
  <si>
    <t>ARACELI C. DELA ROSA</t>
  </si>
  <si>
    <t>City Assessor</t>
  </si>
  <si>
    <t>OFFICE: City Accounting Office</t>
  </si>
  <si>
    <t>Otther Personnel Benefits</t>
  </si>
  <si>
    <t>1.2 Maintenance &amp; Other Operating Expense</t>
  </si>
  <si>
    <t>Telephone Expenses</t>
  </si>
  <si>
    <r>
      <t xml:space="preserve">Repair &amp; Maintenance-Machinery &amp; Equipment</t>
    </r>
    <r>
      <rPr>
        <rFont val="Arial"/>
        <b val="false"/>
        <i val="false"/>
        <strike val="false"/>
        <color rgb="FF000000"/>
        <sz val="8"/>
        <u val="none"/>
      </rPr>
      <t xml:space="preserve"> (Office Equip't.)</t>
    </r>
  </si>
  <si>
    <r>
      <t xml:space="preserve">Repair &amp; Maintenance-Transportation Equipment </t>
    </r>
    <r>
      <rPr>
        <rFont val="Arial"/>
        <b val="false"/>
        <i val="false"/>
        <strike val="false"/>
        <color rgb="FF000000"/>
        <sz val="8"/>
        <u val="none"/>
      </rPr>
      <t xml:space="preserve">(Motor Vehicles/Spareparts)</t>
    </r>
  </si>
  <si>
    <t>Operational Support to Accounting Services</t>
  </si>
  <si>
    <t>Furniture &amp; Fixture</t>
  </si>
  <si>
    <t>EMMADEL V. LISONDRA, CPA</t>
  </si>
  <si>
    <t>City Government Assistant Department Head I</t>
  </si>
  <si>
    <t>Acting City Accountant</t>
  </si>
  <si>
    <t>OFFICE: City Budget Office</t>
  </si>
  <si>
    <t xml:space="preserve">Employees Compenstation Insurance Premiums </t>
  </si>
  <si>
    <t>Other Personnel Bnefits</t>
  </si>
  <si>
    <t>Fuel, Oil &amp; Lubricants Expense</t>
  </si>
  <si>
    <t>Telephone Expenses (Landline/Mobile)</t>
  </si>
  <si>
    <t>Repairs and Maintenance - Buildings &amp; Other Structures</t>
  </si>
  <si>
    <t>5-02-13-040</t>
  </si>
  <si>
    <t>Repairs and Maintenance - Machinery and Equipment (Office Equip't.)</t>
  </si>
  <si>
    <t>Repair and Maintenance - Transportation Equipment</t>
  </si>
  <si>
    <t>5-02-12-060</t>
  </si>
  <si>
    <t>Membership Dues and Contributions to Organizations</t>
  </si>
  <si>
    <t>Auxilliary Support to Budgetary Services</t>
  </si>
  <si>
    <t>Information and Communication Technology Equipment</t>
  </si>
  <si>
    <t>1-07-06-010</t>
  </si>
  <si>
    <t>OFFICE: City Planning and Development Office</t>
  </si>
  <si>
    <t xml:space="preserve">   1.1 Personal Services</t>
  </si>
  <si>
    <t xml:space="preserve">Salaries and Wages </t>
  </si>
  <si>
    <t>Personnel Economic Relief Allwance (PERA)</t>
  </si>
  <si>
    <t>1.2 Maintenance &amp; Other Operating Services</t>
  </si>
  <si>
    <t>Investment and Promotion</t>
  </si>
  <si>
    <t>Information  Technology</t>
  </si>
  <si>
    <t>Repair &amp; Maintenance-Machinery and Equipment (Office Equip't.)</t>
  </si>
  <si>
    <t xml:space="preserve">Taxes, Duties and Licenses </t>
  </si>
  <si>
    <t>Donation</t>
  </si>
  <si>
    <t>Financial assistance for uderpriviliged citizens affected by</t>
  </si>
  <si>
    <t xml:space="preserve"> court order eviction</t>
  </si>
  <si>
    <t>Other Maintenance and  Operating Expenses</t>
  </si>
  <si>
    <t xml:space="preserve">Operational Support to City Planning </t>
  </si>
  <si>
    <t>Development Services</t>
  </si>
  <si>
    <t>Operational Support to information Technology</t>
  </si>
  <si>
    <t>Operational Support to Investment Promotion</t>
  </si>
  <si>
    <t>Information and Communication Equipment</t>
  </si>
  <si>
    <t>DOMINADOR H. GUALBERTO II</t>
  </si>
  <si>
    <t>City Planning and Development Coordinator</t>
  </si>
  <si>
    <t>OFFICE: City Engineer's Office</t>
  </si>
  <si>
    <t>Personal Economic Relief Allowance (PERA)</t>
  </si>
  <si>
    <t>5-01-02-101</t>
  </si>
  <si>
    <t>Maintenance</t>
  </si>
  <si>
    <t>Construction</t>
  </si>
  <si>
    <t>Planning</t>
  </si>
  <si>
    <t>Building</t>
  </si>
  <si>
    <t xml:space="preserve">Monitoring </t>
  </si>
  <si>
    <t>Motorpool</t>
  </si>
  <si>
    <t>SUB -TOTAL PERSONAL SERVICES</t>
  </si>
  <si>
    <t xml:space="preserve"> 1.2 Maintenance &amp; Other Operating Expenses</t>
  </si>
  <si>
    <t>SUB -TOTAL MAINTENANCE &amp; OTHER OPERATING EXPENSES</t>
  </si>
  <si>
    <t>Other Supplies and Materilas Expenses</t>
  </si>
  <si>
    <t>Repair &amp; Maintenance - Machinery and Equipment (Office Equip't.)</t>
  </si>
  <si>
    <t xml:space="preserve">Repairs &amp; Maintenance - Transportation Equipment </t>
  </si>
  <si>
    <t>Rent Expenses</t>
  </si>
  <si>
    <t>5-02-99-050</t>
  </si>
  <si>
    <t>`</t>
  </si>
  <si>
    <t>Other General Services</t>
  </si>
  <si>
    <t>Operational Support Administrative Services</t>
  </si>
  <si>
    <t>Operational Support to Motorpool Services</t>
  </si>
  <si>
    <t>Construction and Heavy Equipment</t>
  </si>
  <si>
    <t>1-07-05-080</t>
  </si>
  <si>
    <t>Buildings</t>
  </si>
  <si>
    <t>1-07-04-010</t>
  </si>
  <si>
    <t>Repair &amp; Maintenance of Government Building &amp; Other Structures</t>
  </si>
  <si>
    <t>TOTAL BUILDING</t>
  </si>
  <si>
    <t>ELMARIO A. PEJAN</t>
  </si>
  <si>
    <t>Engineer IV</t>
  </si>
  <si>
    <t>Acting City Engineer</t>
  </si>
  <si>
    <t>OFFICE: 20% Development Fund</t>
  </si>
  <si>
    <t>20% Development Fund (Local Development Projects)</t>
  </si>
  <si>
    <t>SOCIAL DEVELOPMENT PROJECTS</t>
  </si>
  <si>
    <t>Land</t>
  </si>
  <si>
    <t>1-07-01-010</t>
  </si>
  <si>
    <t>Water Supply Systems</t>
  </si>
  <si>
    <t>1-07-03-040</t>
  </si>
  <si>
    <t>School Buildings</t>
  </si>
  <si>
    <t>1-07-04-020</t>
  </si>
  <si>
    <t>Hospitals and Health Center</t>
  </si>
  <si>
    <t>1-07-04-030</t>
  </si>
  <si>
    <t>Other Structures</t>
  </si>
  <si>
    <t>1-07-04-990</t>
  </si>
  <si>
    <t>TOTAL SOCIAL DEVELOPMENT PROJECTS</t>
  </si>
  <si>
    <t>ENVIRONMENTAL PROJECTS</t>
  </si>
  <si>
    <t>Flood Control System</t>
  </si>
  <si>
    <t>1-07-03-020</t>
  </si>
  <si>
    <t>TOTAL ENVIRONMENTAL PROJECTS</t>
  </si>
  <si>
    <t>ECONOMIC DEVELOPMENT PROJECTS</t>
  </si>
  <si>
    <t>Road Networks</t>
  </si>
  <si>
    <t>1-07-03-010</t>
  </si>
  <si>
    <t>Total Capital Outlay</t>
  </si>
  <si>
    <t>Loan Amortizations</t>
  </si>
  <si>
    <t>Financial Expenses</t>
  </si>
  <si>
    <t>Total Loan Amortizations</t>
  </si>
  <si>
    <t>GRAND TOTAL</t>
  </si>
  <si>
    <t>OFFICE: City Health Office</t>
  </si>
  <si>
    <t xml:space="preserve">Subsistence Allowance </t>
  </si>
  <si>
    <t>5-01-02-050</t>
  </si>
  <si>
    <t xml:space="preserve">Laundry Allowance </t>
  </si>
  <si>
    <t>5-01-02-060</t>
  </si>
  <si>
    <t>Quarters Allowance</t>
  </si>
  <si>
    <t>5-01-02-070</t>
  </si>
  <si>
    <t>Honoraria</t>
  </si>
  <si>
    <t>5-01-02-100</t>
  </si>
  <si>
    <t>Honoraria (Post Mortem Examination)</t>
  </si>
  <si>
    <t>Honoraria (Clinical Phatologist) P5,000/mo.</t>
  </si>
  <si>
    <r>
      <t xml:space="preserve">Honoraria-</t>
    </r>
    <r>
      <rPr>
        <rFont val="Arial"/>
        <b val="false"/>
        <i val="true"/>
        <strike val="false"/>
        <color rgb="FF000000"/>
        <sz val="8"/>
        <u val="none"/>
      </rPr>
      <t xml:space="preserve">(Medico Legal)</t>
    </r>
    <r>
      <rPr>
        <rFont val="Arial"/>
        <b val="false"/>
        <i val="true"/>
        <strike val="false"/>
        <color rgb="FF000000"/>
        <sz val="9"/>
        <u val="none"/>
      </rPr>
      <t xml:space="preserve"> </t>
    </r>
    <r>
      <rPr>
        <rFont val="Arial"/>
        <b val="false"/>
        <i val="true"/>
        <strike val="false"/>
        <color rgb="FF000000"/>
        <sz val="8"/>
        <u val="none"/>
      </rPr>
      <t xml:space="preserve">per case in accordance w/ RA 7305</t>
    </r>
  </si>
  <si>
    <t>Honorarium - (Psychiatrist)</t>
  </si>
  <si>
    <t>Honoraria - Barangay Health Workers (540@600.00)</t>
  </si>
  <si>
    <t>Honoraria - Barangay Sanitation Implementors (102@350.00)</t>
  </si>
  <si>
    <t>Honoraria - Barangay Blood Coordinating Council (54@350.00)</t>
  </si>
  <si>
    <t>Honoraria - Barangay Nutrition Scholar (80@750.00)</t>
  </si>
  <si>
    <t>SUB-TOTAL PERSONAL SERVICES</t>
  </si>
  <si>
    <t>Hazard Pay</t>
  </si>
  <si>
    <t>5-01-02-110</t>
  </si>
  <si>
    <t>1.2 Maintenance and Other Operating Expenses</t>
  </si>
  <si>
    <t>Emergency Medical Services</t>
  </si>
  <si>
    <t>Drugs &amp; Medicines Expenses</t>
  </si>
  <si>
    <t>5-02-03-070</t>
  </si>
  <si>
    <r>
      <t xml:space="preserve">Medical, Dental and Laboratory Supplies Expenses </t>
    </r>
    <r>
      <rPr>
        <rFont val="Arial"/>
        <b val="false"/>
        <i val="false"/>
        <strike val="false"/>
        <color rgb="FF000000"/>
        <sz val="8"/>
        <u val="none"/>
      </rPr>
      <t xml:space="preserve"> </t>
    </r>
  </si>
  <si>
    <t>5-02-03-080</t>
  </si>
  <si>
    <t xml:space="preserve">       Other Supplies and Materials Expenses</t>
  </si>
  <si>
    <t>Telephone Expenses (CHO II, ACHO, Admin, Guard, Nutrition, Supply,</t>
  </si>
  <si>
    <t>Social Hygiene Clinic &amp; 4 Districts)</t>
  </si>
  <si>
    <t xml:space="preserve">Internet Subscription Exp. </t>
  </si>
  <si>
    <t>Admin (ACHO, FHSIS &amp; CESU &amp; 4 District), Innov</t>
  </si>
  <si>
    <t>Communications, Internet Service (CHO II)</t>
  </si>
  <si>
    <t>Cable, Satellite, Telegraph and Radio Expenses</t>
  </si>
  <si>
    <t>5-02-05-040</t>
  </si>
  <si>
    <t>Repair and Maintenance - Machinery Equipment</t>
  </si>
  <si>
    <t>Repair &amp; Maint.-Transportation Equipment</t>
  </si>
  <si>
    <t xml:space="preserve">       Repairs &amp; Maint-Other Property, Plant &amp; Equipment</t>
  </si>
  <si>
    <t>Repairs &amp; Maintenance - Other Property, Plant &amp; Equipment</t>
  </si>
  <si>
    <t>5-02-13-990</t>
  </si>
  <si>
    <t>Fidelity Bond Premium (w/ 5 accountable/bonded officers)</t>
  </si>
  <si>
    <t>Operational Support to Health Services</t>
  </si>
  <si>
    <t>BHW Aide</t>
  </si>
  <si>
    <t>Information &amp; Communication Technology  Equipment</t>
  </si>
  <si>
    <t>Motor Vehicles</t>
  </si>
  <si>
    <t>Devolved Functions, Services, and Programs</t>
  </si>
  <si>
    <t>HEALTH &amp; NUTRITION PROGRAM</t>
  </si>
  <si>
    <t xml:space="preserve">Improved nutritional status of pre-schoolers  and school </t>
  </si>
  <si>
    <t>children, Reduced prevalence of malnutrition</t>
  </si>
  <si>
    <t xml:space="preserve">Nutrition  :1st 1000 Days Program 3433 Pregnant and lactating </t>
  </si>
  <si>
    <t xml:space="preserve">Mothers, Ferrous Sulfate with folic acid coated  tablets </t>
  </si>
  <si>
    <t>procured</t>
  </si>
  <si>
    <t xml:space="preserve">8370 1-5 years old children - Purchase Request, PPMP, Activity </t>
  </si>
  <si>
    <t>Profile for Dietary supplementation - 8370 bts. Multivitamins</t>
  </si>
  <si>
    <t>syrup with iron procured</t>
  </si>
  <si>
    <t xml:space="preserve">Provision of  health service to 0-12 months  old - 200 bts. Of </t>
  </si>
  <si>
    <t>ferrous zinc drops procured</t>
  </si>
  <si>
    <t xml:space="preserve">Provision of  health service to 6-23 months  old - 339,000 micro </t>
  </si>
  <si>
    <t>nutrient powder sachets procured</t>
  </si>
  <si>
    <t xml:space="preserve">Provision of  health service to 6-23 months  old  - 339,000 </t>
  </si>
  <si>
    <t>Powder food packs (REMO) packs</t>
  </si>
  <si>
    <t xml:space="preserve">Provision of Health Care service to pre-natal - 8000 boxes of </t>
  </si>
  <si>
    <t>calcium carbonate procured</t>
  </si>
  <si>
    <t>TOTAL HEALTH &amp; NUTRITION PROGRAM</t>
  </si>
  <si>
    <t>COMMUNITY HEALTH DEVELOPMENT SERVICES</t>
  </si>
  <si>
    <t xml:space="preserve">Quality  health care services provided by strengthening </t>
  </si>
  <si>
    <t>Barangay Health Workers.</t>
  </si>
  <si>
    <t>TOTAL COMMUNITY HEALTH DEVELOPMENT SERVICES</t>
  </si>
  <si>
    <t>HEALTH EDUCATION PROMOTION ADVOCACY &amp; TRAINING (HEPAT)</t>
  </si>
  <si>
    <t xml:space="preserve">Equipped Health Personnel in the delivery of basic health </t>
  </si>
  <si>
    <t xml:space="preserve">services. Capability building, skills trainings, seminars, </t>
  </si>
  <si>
    <t xml:space="preserve">symposia related to carrier development and profes- </t>
  </si>
  <si>
    <t>sionalism provided.</t>
  </si>
  <si>
    <t>TOTAL HEPAT</t>
  </si>
  <si>
    <t>CITY EPIDEMIOLOGY &amp; SURVEILLANCE UNIT (CESU)</t>
  </si>
  <si>
    <t xml:space="preserve">Pro-active response to all types of disease outbreaks and other </t>
  </si>
  <si>
    <t>emerging diseases responded.</t>
  </si>
  <si>
    <t>TOTAL CESU</t>
  </si>
  <si>
    <t>SUBSIDY TO AREA LOCAL HEALTH BOARD</t>
  </si>
  <si>
    <t xml:space="preserve">Health related policies formulated&amp; served as the advisory </t>
  </si>
  <si>
    <t>committee to the Sanggunian concerned on health matters.</t>
  </si>
  <si>
    <t>TOTAL LOCAL HEALTH BOARD</t>
  </si>
  <si>
    <t>HIV / AIDS PROGRAM</t>
  </si>
  <si>
    <t xml:space="preserve">Increased awareness on the Prevention and Control of STI/HIV </t>
  </si>
  <si>
    <t xml:space="preserve">AIDS &amp; Reduce Sexually Transmitted Infectious (STI) cases. </t>
  </si>
  <si>
    <t>TOTAL HIV / AIDS PROGRAM</t>
  </si>
  <si>
    <t>TUBERCULOSIS CONTROL PROGRAM</t>
  </si>
  <si>
    <t xml:space="preserve">Increased positivity rate, increased cure rate . Trained Program  </t>
  </si>
  <si>
    <t xml:space="preserve">Coordinates  &amp; RHU Health Personnel on Tuberculosis  </t>
  </si>
  <si>
    <t>Control  Program.</t>
  </si>
  <si>
    <t>TOTAL TUBERCULOSIS CONTROL PROGRAM</t>
  </si>
  <si>
    <t>DENGUE PREVENTION AND CONTROL PROGRAM</t>
  </si>
  <si>
    <t xml:space="preserve">Increased awareness on Dengue Prevention &amp; Control.  </t>
  </si>
  <si>
    <t>Reduction of human rabies cases.</t>
  </si>
  <si>
    <t>TOTAL DENGUE PROGRAM</t>
  </si>
  <si>
    <t xml:space="preserve">FILARIASIS, MALARIA, RABIES, EREID, SOIL TRANSMITTED </t>
  </si>
  <si>
    <t>HELMINTHIASIS PROGRAMS</t>
  </si>
  <si>
    <t>TOTAL FMRESTH PROGRAM</t>
  </si>
  <si>
    <t xml:space="preserve">NON COMMUNICABLE DISEASE CLUSTER SMOKING CESSATION </t>
  </si>
  <si>
    <t>TRAINING &amp; SEMINAR ON PROMOTION HEALTHY LIFESTYLE</t>
  </si>
  <si>
    <t>Anti-smoking campaign promoted.</t>
  </si>
  <si>
    <t xml:space="preserve">Provision of Health Care Services to hypertensive patients, </t>
  </si>
  <si>
    <t>Amlodipine 5mg and Amlodopine 50 mg</t>
  </si>
  <si>
    <t>Lozartan 50 mg and Lozartan 100 mg</t>
  </si>
  <si>
    <t xml:space="preserve">Provision of Health Care Services to Diabetec patients, </t>
  </si>
  <si>
    <t>630 boxes of metformin tablets</t>
  </si>
  <si>
    <t xml:space="preserve">Provision of Health Care Services to high cholesterol </t>
  </si>
  <si>
    <t>patients 350 boxes</t>
  </si>
  <si>
    <t xml:space="preserve">TOTAL NON COMMUNICABLE DISEASE </t>
  </si>
  <si>
    <t>INTEGRATED MANAGEMENT OF CHILDREN'S INFECTIOUS DISEASE</t>
  </si>
  <si>
    <t xml:space="preserve">Provision of Health Care Services to Children sick in </t>
  </si>
  <si>
    <t>diarrhea, 200 boxes of oresol with zinc sachets</t>
  </si>
  <si>
    <t>pheumonia, 400 bts of amoxicillin drops</t>
  </si>
  <si>
    <t xml:space="preserve">pheumonia, 1500 bts of amoxicillin 125 mg syrup </t>
  </si>
  <si>
    <t>@120ml</t>
  </si>
  <si>
    <t xml:space="preserve">Cancer Prevention and Control (Cervical Cancer Screening </t>
  </si>
  <si>
    <t>Thru Visual Inspection Approach-Via)</t>
  </si>
  <si>
    <t>TOTAL CHILDREN'S INFECTIOUS DISEASE</t>
  </si>
  <si>
    <t>NATIONAL VOLUNTARY BLOOD SERVICES PROGRAM</t>
  </si>
  <si>
    <t>Saving lives during emergencies attained</t>
  </si>
  <si>
    <t>TOTAL NATIONAL VOLUNTARY BLOOD SERVICES PROGRAM</t>
  </si>
  <si>
    <t>MATERNAL &amp; CHILD HEALTH CARE PROGRAM</t>
  </si>
  <si>
    <t>Prenatal, Postnatal, Neonatal Care Services &amp; Breastfeeding</t>
  </si>
  <si>
    <t>Provision of Health Cares Services to Prenatal, Postnatal</t>
  </si>
  <si>
    <t>Neonatal Care Services &amp; Breastfeeding - Pregnanct Test</t>
  </si>
  <si>
    <t>Provision of Health Cares to Ferrous Sulfate with Folic Acid</t>
  </si>
  <si>
    <t>Supplemental 60mg Elemental Iron with 400mcg Folic</t>
  </si>
  <si>
    <t>Acid-tablet coated)</t>
  </si>
  <si>
    <t>Provision of Health Care Service to Calcium Carbonate</t>
  </si>
  <si>
    <t>Supplementation (1 tablet 3x a day to start on the 5th mo.</t>
  </si>
  <si>
    <t xml:space="preserve">of pregnancy unitl delivery) - Purchase of Calcium </t>
  </si>
  <si>
    <t>Carbonate 1.25g Tab with 500mg Elemental Calcium</t>
  </si>
  <si>
    <t>Provision of Health Care Service to Iodine Supplementation</t>
  </si>
  <si>
    <t xml:space="preserve">(2 Capsules single dose preferably to be given during the </t>
  </si>
  <si>
    <t>1st trimester) Purchase of Iodized Oil Fluid Oral 500mg to</t>
  </si>
  <si>
    <t>200mg elemental iodine</t>
  </si>
  <si>
    <t>Provision of Health Care Services for Deworming (given one</t>
  </si>
  <si>
    <t>dose only preferably given 2nd or 3rd Trimester)</t>
  </si>
  <si>
    <t>Purchase of Albendazole 400mg</t>
  </si>
  <si>
    <t>Provision of Ferrous Sulfate with Folic Acid Supplementation</t>
  </si>
  <si>
    <t>(60mg Elemental Iron with 400mcg Folic Acid-Tablet</t>
  </si>
  <si>
    <t>coated) (90tabs per postpartum mother for 90 days and</t>
  </si>
  <si>
    <t>1 tablet once a day)</t>
  </si>
  <si>
    <t>TOTAL MATERNAL &amp; CHILD HEALTH CARE PROGRAM</t>
  </si>
  <si>
    <t>ADOLESCENT  HEALTH &amp; DEVELOPMENT PROGRAM</t>
  </si>
  <si>
    <t>Orientation/Seminar of young people ages 10 to 19 years old</t>
  </si>
  <si>
    <t>TOTAL ADOLESCENT  HEALTH &amp; DEVELOPMENT PROGRAM</t>
  </si>
  <si>
    <t>NATIONAL IMMUNIZATION PROGRAM</t>
  </si>
  <si>
    <t>Zero Infant &amp; Maternal Mortality</t>
  </si>
  <si>
    <t>TOTAL NATIONAL IMMUNIZATION PROGRAM</t>
  </si>
  <si>
    <t>REPRODUCTIVE HEALTH CARE &amp; FAMILY PLANNING</t>
  </si>
  <si>
    <t xml:space="preserve">Orientation on reproductive health care &amp; family planning  </t>
  </si>
  <si>
    <t>including medical supplies</t>
  </si>
  <si>
    <t>TOTAL REPRODUCTIVE HEALTH CARE &amp; FAMILY PLANNING</t>
  </si>
  <si>
    <t>FIELD SERVICE INFORMATION SYSTEM (FHSIS)</t>
  </si>
  <si>
    <t xml:space="preserve">Health data and statistics from the barangay level and conso-  </t>
  </si>
  <si>
    <t>lidation of vital health indices</t>
  </si>
  <si>
    <t>TOTAL FIELD SERVICE INFORMATION SYSTEM (FHSIS)</t>
  </si>
  <si>
    <t>CITY HEALTH TREATMENT CENTER (PD)</t>
  </si>
  <si>
    <t>TOTAL CITY HEALTH TREATMENT CENTER (PD)</t>
  </si>
  <si>
    <t>DENTAL PROGRAM (DENTAL DIVISION)</t>
  </si>
  <si>
    <t>TOTAL DENTAL PROGRAM</t>
  </si>
  <si>
    <t>SANITATION PROGRAM (SANITATION  DIVISION)</t>
  </si>
  <si>
    <t xml:space="preserve">TOTAL SANITATION PROGRAM </t>
  </si>
  <si>
    <t>CITY LEADERSHIP GOVERNANCE PROGRAM</t>
  </si>
  <si>
    <t>TOTAL CITY LEADERSHIP GOVERNANCE PROGRAM</t>
  </si>
  <si>
    <t>BENJIELITA P. NOTADA</t>
  </si>
  <si>
    <t>City Health Officer</t>
  </si>
  <si>
    <t>OFFICE: City Civil Registrar Office</t>
  </si>
  <si>
    <t>Textbooks &amp; Instructional Materials Expenses</t>
  </si>
  <si>
    <t>5-02-03-110</t>
  </si>
  <si>
    <t>Repair &amp; Maintenance-Machinery Equipment (Office Equipment )</t>
  </si>
  <si>
    <t>Repair &amp; Maint.-Transportation Equipment (Motor Vehicles-Spareparts/Tires)</t>
  </si>
  <si>
    <t>Membership Dues &amp; Contribution to Organization</t>
  </si>
  <si>
    <t xml:space="preserve">Other Maintenance and Operating Expenses </t>
  </si>
  <si>
    <t>Kasalan sa Valentine</t>
  </si>
  <si>
    <t>Operational Support to Civil Registry Services</t>
  </si>
  <si>
    <t>GRACE R. POMOY</t>
  </si>
  <si>
    <t>City Civil Registrar</t>
  </si>
  <si>
    <t>OFFICE: City Administrator Office</t>
  </si>
  <si>
    <t>Repairs and Maintenance- Machinery &amp; Equipment (Office Equip't.)</t>
  </si>
  <si>
    <t xml:space="preserve">       Fidelity Bond Premiums</t>
  </si>
  <si>
    <t xml:space="preserve">       Other Maintenance &amp; Operating Expenses</t>
  </si>
  <si>
    <t>Operational Support to Admin Services</t>
  </si>
  <si>
    <t>ATTY. CRISTINA R. PARIÑAS</t>
  </si>
  <si>
    <t>Acting City Administrator</t>
  </si>
  <si>
    <t>OFFICE: City Legal Office</t>
  </si>
  <si>
    <t>Telephone Expenses Landline (w/ long distance) inc'l. Smart card load</t>
  </si>
  <si>
    <t>Internet Expenses</t>
  </si>
  <si>
    <t>Repairs &amp; Maintenance-Machinery Equipment (Office Equip't.)</t>
  </si>
  <si>
    <t>Repairs &amp; Maintenance-Transportation Equipment</t>
  </si>
  <si>
    <t>Operational Support to Legal Services</t>
  </si>
  <si>
    <t>2.1 Office Equipment</t>
  </si>
  <si>
    <t>City Legal Officer</t>
  </si>
  <si>
    <t>OFFICE: City Veterinary Office</t>
  </si>
  <si>
    <t>Subsistence Allowance</t>
  </si>
  <si>
    <t>Laundry Allowance</t>
  </si>
  <si>
    <t>Animal/Zoological Supplies Expenses (Feeds)</t>
  </si>
  <si>
    <t>5-02-03-040</t>
  </si>
  <si>
    <t xml:space="preserve">Repair &amp; Maintenance-Transportation Equipment </t>
  </si>
  <si>
    <t>Operational Support to Veterinary Services</t>
  </si>
  <si>
    <t>ANIMAL BREEDING CENTER/STATION</t>
  </si>
  <si>
    <t xml:space="preserve">Maintenance and Operational Support to Animal Breeding </t>
  </si>
  <si>
    <t>Center</t>
  </si>
  <si>
    <t>TOTAL ANIMAL BREEDING CENTER/STATION</t>
  </si>
  <si>
    <t>ARTIFICIAL INSEMINATION CENTERS</t>
  </si>
  <si>
    <t>TOTAL ARTIFICIAL INSEMINATION CENTERS</t>
  </si>
  <si>
    <t>PREVENTION AND CONTROL OF ANIMAL PEST AND DISEASES</t>
  </si>
  <si>
    <t>TOTAL PREVENTION AND CONTROL OF ANIMAL PEST &amp; DISEASES</t>
  </si>
  <si>
    <t>SLAUGHTERHOUSES</t>
  </si>
  <si>
    <t>TOTAL SLAUGHTERHOUSES</t>
  </si>
  <si>
    <t>ANIMAL PRODUCT AND BY-PRODUCT AND WASTE UTILIZATION</t>
  </si>
  <si>
    <t>TOTAL ANIMAL PRODUCT &amp; BY-PRODUCT &amp; WASTE UTILIZATION</t>
  </si>
  <si>
    <t>RESEARCH AND EXTENSION (AGRICULTURAL EXTENSION)</t>
  </si>
  <si>
    <t>TOTAL RESEARCH AND EXTENSION</t>
  </si>
  <si>
    <t>ALAN F. QUINES</t>
  </si>
  <si>
    <t>City Veterinarian</t>
  </si>
  <si>
    <t xml:space="preserve">OFFICE: City Social Welfare and Development </t>
  </si>
  <si>
    <t>Office</t>
  </si>
  <si>
    <t xml:space="preserve"> </t>
  </si>
  <si>
    <t>Hazard Pay (Magna Carta)</t>
  </si>
  <si>
    <t xml:space="preserve">Employees Compensation Insurance Premiums </t>
  </si>
  <si>
    <t xml:space="preserve">        Travelling Expenses - Local</t>
  </si>
  <si>
    <t>Travelling Expenses - Local</t>
  </si>
  <si>
    <t xml:space="preserve">        Training Expenses</t>
  </si>
  <si>
    <t xml:space="preserve">        Office Supplies Expenses</t>
  </si>
  <si>
    <t>Population Commission</t>
  </si>
  <si>
    <t xml:space="preserve">        Fuel, Oil &amp; Lubricants Expenses</t>
  </si>
  <si>
    <t xml:space="preserve">        Telephone Expenses Landline with extension, mobile/internet comm.</t>
  </si>
  <si>
    <t>Telephone Expenses - Landline with extension, mobile/internet comm.</t>
  </si>
  <si>
    <t>Repair &amp; Maintenance - Transportation Equipment  (Motor Vehicles)</t>
  </si>
  <si>
    <t>5-02-15-010</t>
  </si>
  <si>
    <t>5-02-15-020</t>
  </si>
  <si>
    <t xml:space="preserve">        Donations</t>
  </si>
  <si>
    <t>Grants &amp; Aids, Murtuary Assistance, Trans. Assistance</t>
  </si>
  <si>
    <t>Mortuary Assistance to Veterans</t>
  </si>
  <si>
    <t>Mortuary Assistance to Sr. Citizens</t>
  </si>
  <si>
    <t>Financial Aid to FEDMAS (reg. Employee only)</t>
  </si>
  <si>
    <t>Persons with Disability</t>
  </si>
  <si>
    <t>Operational Support to Social Welfare &amp; Dev't. Program</t>
  </si>
  <si>
    <t>Operational Support to Population Services</t>
  </si>
  <si>
    <t>Special Purpose Appropriation</t>
  </si>
  <si>
    <t>Neighborhood Support Services for Older Persons</t>
  </si>
  <si>
    <t>TOTAL NEIGHBORHOOD SUPPORT SERVICES FOR OLDER PERSONS</t>
  </si>
  <si>
    <t>Equity to Sustainable Livelihood Program (SLP)</t>
  </si>
  <si>
    <t>TOTAL EQUITY TO SLP</t>
  </si>
  <si>
    <t>Gender &amp; Development (GAD) Program</t>
  </si>
  <si>
    <t>TOTAL GAD PROGRAM</t>
  </si>
  <si>
    <t>Women Crisis Center and Services</t>
  </si>
  <si>
    <t>TOTAL WOMEN CRISIS CENTER AND SERVICES</t>
  </si>
  <si>
    <t>Support For LCAT-VAWC</t>
  </si>
  <si>
    <t>TOTAL LCAT-VAWC</t>
  </si>
  <si>
    <t>CHILD AND YOUTH WELFARE PROGRAM</t>
  </si>
  <si>
    <t>Supplemental Feeding</t>
  </si>
  <si>
    <t>Comprehensive Program for Street Children, Street Families</t>
  </si>
  <si>
    <t>and IDOs and Sama Bajao</t>
  </si>
  <si>
    <t>Implementation of Unlad Kabataan Program</t>
  </si>
  <si>
    <t>Alternative Family Care Program</t>
  </si>
  <si>
    <t>After care Program for Recovering Drug Dependents</t>
  </si>
  <si>
    <t>TOTAL CHILD AND YOUTH WELFARE PROGRAM</t>
  </si>
  <si>
    <t>SENIOR CITIZENS WELFARE PROGRAM</t>
  </si>
  <si>
    <t>Social Pension Program</t>
  </si>
  <si>
    <t xml:space="preserve">Centenarian Program  </t>
  </si>
  <si>
    <t>TOTAL SENIOR CITIZENS WELFARE PROGRAM</t>
  </si>
  <si>
    <t>AUXILIARY SERVICES FOR PERSON WITH DISABILITY</t>
  </si>
  <si>
    <t>TOTAL PROGRAM FOR PERSONS WITH DISABILITIES (PWD)</t>
  </si>
  <si>
    <t>RECOVERY, REINTEGRATION PROGRAM FOR TRAFFICKED</t>
  </si>
  <si>
    <t>PERSONS (RRPTP)</t>
  </si>
  <si>
    <t>TOTAL RRPTP</t>
  </si>
  <si>
    <t>LENIE S. LIRAY</t>
  </si>
  <si>
    <t>City Social Welfare &amp; Development Officer</t>
  </si>
  <si>
    <t>OFFICE: City General Services Office</t>
  </si>
  <si>
    <t>Electrical</t>
  </si>
  <si>
    <t>Garbage Collection and Disposal</t>
  </si>
  <si>
    <t>Park and Plaza</t>
  </si>
  <si>
    <t>Street Sweepers</t>
  </si>
  <si>
    <t>Repair &amp; Maintenance-Machinery Equipment</t>
  </si>
  <si>
    <t>Printing &amp; PublicationExpenses</t>
  </si>
  <si>
    <t>Operational Support to General Services</t>
  </si>
  <si>
    <t>Operational Support to Electric Light &amp; Power System</t>
  </si>
  <si>
    <t>Operational Support to Park and Plaza</t>
  </si>
  <si>
    <t>Environment/Sanitary Services</t>
  </si>
  <si>
    <t>5-02-12-010</t>
  </si>
  <si>
    <t>Operational Support to Garbage Collection &amp; Disposal</t>
  </si>
  <si>
    <t>Operational Support to Street Sweeper</t>
  </si>
  <si>
    <t>DIONESIO N. BOQUID JR.</t>
  </si>
  <si>
    <t>Administrative Officer V</t>
  </si>
  <si>
    <t>Acting City General Services Officer</t>
  </si>
  <si>
    <t>OFFICE: City Agriculture Office</t>
  </si>
  <si>
    <t>Salaries and Wages Regular</t>
  </si>
  <si>
    <t>Training  Expenses</t>
  </si>
  <si>
    <t>Agricultural and Marine Supplies Expenses</t>
  </si>
  <si>
    <t>5-02-03-100</t>
  </si>
  <si>
    <t>Repair &amp; Maintenance - Machinery and Equipment</t>
  </si>
  <si>
    <t xml:space="preserve">       Taxes, Duties and Licenses</t>
  </si>
  <si>
    <t xml:space="preserve">       Other Maintenance and Operating Expenses</t>
  </si>
  <si>
    <t>Operational Support to Agricultural Services</t>
  </si>
  <si>
    <t>PREVENTION AND CONTROL OF PLANT /FISHERY DISEASES</t>
  </si>
  <si>
    <t>TOTAL PREVENTION AND CONTROL OF PLAN/FISHERY DISEASES</t>
  </si>
  <si>
    <t>SEED FARMS AND SEEDLING NURSERIES</t>
  </si>
  <si>
    <t>TOTAL SEED FARMS AND SEEDLING NURSERIES</t>
  </si>
  <si>
    <t>QUALITY CONTROL OF COPRA</t>
  </si>
  <si>
    <t>TOTAL QUALITY CONTROL OF COPRA</t>
  </si>
  <si>
    <t>WATER RESOURCE UTILIZATION</t>
  </si>
  <si>
    <t>TOTAL WATER RESOURCE UTILIZATION</t>
  </si>
  <si>
    <t>CREDIT FINANCING</t>
  </si>
  <si>
    <t>TOTAL CREDIT FINANCING</t>
  </si>
  <si>
    <t xml:space="preserve">DEVELOPMENT IMPROVEMENT OF LOCAL DISTRIBUTION </t>
  </si>
  <si>
    <t xml:space="preserve">CHANNELS, OPERATION OF FARM PRODUCE COLLECTIONS AND </t>
  </si>
  <si>
    <t>BUYING STATIONS</t>
  </si>
  <si>
    <t>TOTAL DEVELOPMENT IMPROVEMENT</t>
  </si>
  <si>
    <t>INFORMATION SERVICES - MARKET INFORMATION SYSTEM</t>
  </si>
  <si>
    <t>TOTAL INFORMATION SERVICES - MARKET INFORMATION SYSTEM</t>
  </si>
  <si>
    <t>AGRICULTURAL EXTENSION</t>
  </si>
  <si>
    <t>TOTAL AGRICULTURAL EXTENSION</t>
  </si>
  <si>
    <t>AMELITA N. DELA CERNA</t>
  </si>
  <si>
    <t>Senior Agriculturist</t>
  </si>
  <si>
    <t>OIC - City Agriculturist</t>
  </si>
  <si>
    <t>OFFICE: City Environment and Natural Resource</t>
  </si>
  <si>
    <t>Salaries and Wages</t>
  </si>
  <si>
    <t>5-01-01-020</t>
  </si>
  <si>
    <t>Repair &amp; Maintenance - Machinery Equipment (I.T. Equipt. &amp; Software)</t>
  </si>
  <si>
    <t>Repair &amp; Maintenance - Transportation Equipment (Spareparts)</t>
  </si>
  <si>
    <t>Repair &amp; Maintenance - Other Property, Plant and Equipment</t>
  </si>
  <si>
    <t>Lot Survey Services</t>
  </si>
  <si>
    <t>Operational Support to ENRO Services</t>
  </si>
  <si>
    <t>Solid Waste Management, IEC &amp; MRF Operation</t>
  </si>
  <si>
    <t>FOREST LAND USE IMPLEMENTATION AND MANAGEMENT</t>
  </si>
  <si>
    <t>Delineation of Forest Land Use Classification (18 Barangays)</t>
  </si>
  <si>
    <t xml:space="preserve">Reforestation and Protection and Production - Forest Tree </t>
  </si>
  <si>
    <t>Planting</t>
  </si>
  <si>
    <t xml:space="preserve">Forest Tree Park Establishment by Barangays (minimum </t>
  </si>
  <si>
    <t>0.5 has. per barangay)</t>
  </si>
  <si>
    <t>NGP Implementation and Monitoring</t>
  </si>
  <si>
    <t>TOTAL FOREST LAND USE IMPLEMENTATION AND MANAGEMENT</t>
  </si>
  <si>
    <t>COASTAL RESOURCES PROTECTION AND MANAGEMENT PLAN</t>
  </si>
  <si>
    <t>Integrated Coastal Protection Master Plan (18 Coastal Brgys)</t>
  </si>
  <si>
    <t>Delineation and Protection of Marine Sanctuaties</t>
  </si>
  <si>
    <t>Mangrove Reforestation and Protection Program</t>
  </si>
  <si>
    <t xml:space="preserve">Community Based Forest Management (CBFM) Implemen- </t>
  </si>
  <si>
    <t>tation and  Monitoring</t>
  </si>
  <si>
    <t>TOTAL COASTAL RESOURCES PROTECTION AND MANAGEMENT PLAN</t>
  </si>
  <si>
    <t>INTEGRATED RIVERS / CREEKS MANAGEMENT AND DEVELOPMENT</t>
  </si>
  <si>
    <t xml:space="preserve">Surigao River Rehabilitation and Protection Development </t>
  </si>
  <si>
    <t>Prog./ Proj.</t>
  </si>
  <si>
    <t xml:space="preserve">Easement Regulation Development and Implementation </t>
  </si>
  <si>
    <t>Along Rivers, Creeks and Coastal Areas</t>
  </si>
  <si>
    <t>Rivers / Creeks Clean-Up and Dredging / Desiltation Project</t>
  </si>
  <si>
    <t>TOTAL INTEGRATED RIVERS/CREEKS MANAGEMENT &amp; DEVELOPMENT</t>
  </si>
  <si>
    <t>ECOLOGICAL SOLID WASTE MANAGEMENT PLAN</t>
  </si>
  <si>
    <t>IEC Advocacy Program</t>
  </si>
  <si>
    <t>Establishment of MRF by Barangay</t>
  </si>
  <si>
    <t>Sanitary Landfill Operation and Management</t>
  </si>
  <si>
    <t>Establishment of Alternative Technology</t>
  </si>
  <si>
    <t>Enforcement of Environmental Laws and Ordinances</t>
  </si>
  <si>
    <t>Development of Incentives for Best Practice and Disciplined</t>
  </si>
  <si>
    <t>by Barangay, Agencies, Establishment and Schools</t>
  </si>
  <si>
    <t>TOTAL ECOLOGICAL SOLID WASTE MANAGEMENT PLAN</t>
  </si>
  <si>
    <t>RAUL B. TARPIN</t>
  </si>
  <si>
    <t>Acting City Environment and Natural Resources Officer</t>
  </si>
  <si>
    <t xml:space="preserve">OFFICE: City Disaster Risk Reduction and </t>
  </si>
  <si>
    <t>Management Office</t>
  </si>
  <si>
    <t>Telephone Expenses &amp; Internet Expenses</t>
  </si>
  <si>
    <t>Repair &amp; Maintenance-Machinery &amp; Equipment (Office Equipment)</t>
  </si>
  <si>
    <t>Repair &amp; Maintenance-Transportation Equipment (Motor Vehicle)</t>
  </si>
  <si>
    <t>Operational Support to City Disaster Services &amp; CDRRM Council</t>
  </si>
  <si>
    <t>TOTAL CURRENT EXPENDITURES</t>
  </si>
  <si>
    <t>2.2 Office Equipment</t>
  </si>
  <si>
    <t>THRELCIE A. VILLACES</t>
  </si>
  <si>
    <t>City Disaster Risk Reduction and Management Officer</t>
  </si>
  <si>
    <t>OFFICE: 5% Local Disaster Risk Reduction and</t>
  </si>
  <si>
    <t>Management Fund (LDRRMF)</t>
  </si>
  <si>
    <t>QUICK RESPONSE FUND</t>
  </si>
  <si>
    <t>DISASTER PREPAREDNES/PREVENTION AND MITIGATION</t>
  </si>
  <si>
    <t>Maintenance and Other Opearting Expenses</t>
  </si>
  <si>
    <t>Drugs and Medicines Expenses</t>
  </si>
  <si>
    <t>Repairs and Maintenance - Transportation Equipment</t>
  </si>
  <si>
    <t>TOTAL MAINTENANCE AND OTHER OPERATING EXPENSES</t>
  </si>
  <si>
    <t>Flood Control Systems</t>
  </si>
  <si>
    <t>Disaster Response and Rescue Equipment</t>
  </si>
  <si>
    <t>1-07-05-090</t>
  </si>
  <si>
    <t>Watercrafts</t>
  </si>
  <si>
    <t>1-07-06-040</t>
  </si>
  <si>
    <t>Other Transportaion Equipment</t>
  </si>
  <si>
    <t>TOTAL DISASTER PREPAREDNESS/PREVENTION &amp; MITIGATION</t>
  </si>
  <si>
    <t>GRAND TOTAL LDRRMF</t>
  </si>
  <si>
    <t>City Disaster Risk Reduction &amp; Management Officer</t>
  </si>
  <si>
    <t xml:space="preserve">OFFICE: City Tourism and Cultural Development </t>
  </si>
  <si>
    <t xml:space="preserve">        Telephone Expenses </t>
  </si>
  <si>
    <t>Telephone Expenses/Internet</t>
  </si>
  <si>
    <t>Cable, Satelite, Telegraph &amp; Radio Expenses</t>
  </si>
  <si>
    <t>Repair &amp; Maintenance - Machinery Equipment  (Office Equipment)</t>
  </si>
  <si>
    <t xml:space="preserve">Repair and  Maintenance - Transportation Equipment </t>
  </si>
  <si>
    <t>Operational Support to City Tourism Office</t>
  </si>
  <si>
    <t>1-06-05-020</t>
  </si>
  <si>
    <t xml:space="preserve"> Information and Communication Technology Equipment</t>
  </si>
  <si>
    <t>TOURSIM POLICY FORMULATION &amp; PLANNING</t>
  </si>
  <si>
    <t xml:space="preserve">Updating  of Local Tourism Development Plan to Include </t>
  </si>
  <si>
    <t xml:space="preserve">Poduct Development Plan, Marketing Plan, and Site </t>
  </si>
  <si>
    <t>Development Plan</t>
  </si>
  <si>
    <t xml:space="preserve">Conduct Tourism Development Planning for Barangays with </t>
  </si>
  <si>
    <t>existing and emerging tourist attractions</t>
  </si>
  <si>
    <t>TOTAL TOURSIM POLICY FORMULATION &amp; PLANNING</t>
  </si>
  <si>
    <t>TOURISM PROMOTIONS</t>
  </si>
  <si>
    <t xml:space="preserve">Management of Tourism Assistance Center/Information </t>
  </si>
  <si>
    <t>Lounge at Airport and Seaport</t>
  </si>
  <si>
    <t>Production of Promotional Video Materials</t>
  </si>
  <si>
    <t>Participation to National and Regional Travel and Trade</t>
  </si>
  <si>
    <t>Expositions</t>
  </si>
  <si>
    <t>TOTAL TOURISM PROMOTIONS</t>
  </si>
  <si>
    <t>TOURISM PRODUCT &amp; SITE DEVELOPMENT</t>
  </si>
  <si>
    <t>Conduct Site Inspection/Assessment in Coordination with Barangay Officials where the Tourism Sites is Located</t>
  </si>
  <si>
    <t>TOTAL TOURISM PRODUCT &amp; SITE DEVELOPMENT</t>
  </si>
  <si>
    <t>DEVELOPMENT &amp; PROMOTION OF CULTURE &amp; ARTS PROGRAM</t>
  </si>
  <si>
    <t>Establishment of Culture and Arts Division under the City Tourism and Culture Affairs Office</t>
  </si>
  <si>
    <t>TOTAL DEVELOPMENT &amp; PROMOTION OF CULTURE &amp; ARTS PROGRAM</t>
  </si>
  <si>
    <t>VAYA ANGELICA L. BURDAS</t>
  </si>
  <si>
    <t>Planning Officer III</t>
  </si>
  <si>
    <t>OIC - City Tourism Officer</t>
  </si>
  <si>
    <t>OFFICE: City Human Resource Management and</t>
  </si>
  <si>
    <t>Development Office</t>
  </si>
  <si>
    <t>Operational Support to Human Resource Management</t>
  </si>
  <si>
    <t>HAIREE CEL S. PEDIMONTE</t>
  </si>
  <si>
    <t>City Human Resource Management and Development Officer</t>
  </si>
  <si>
    <t>OFFICE: City Public Market</t>
  </si>
  <si>
    <t>Terminal Leave Benefits - Leave Monetization</t>
  </si>
  <si>
    <t>Water Expense</t>
  </si>
  <si>
    <t>Electricity Expense</t>
  </si>
  <si>
    <t>OFFICE: City Integrated Land Transport</t>
  </si>
  <si>
    <t>Terminal (CILTT)</t>
  </si>
  <si>
    <t>Other Bonuses</t>
  </si>
  <si>
    <t>Accountable Forms Expense</t>
  </si>
  <si>
    <t>Cable, Satellite, Telegraph &amp; Radio Expense</t>
  </si>
  <si>
    <t>Repairs &amp; Maintenance- Buildings and Other Structures</t>
  </si>
  <si>
    <t>Repairs &amp; Maintenance- Machinery and Equipment</t>
  </si>
  <si>
    <t>Taxes, Duties &amp; Licenses (Reg. of Vehicle - Emission Test)</t>
  </si>
  <si>
    <t>Insurance Expense</t>
  </si>
  <si>
    <t>MARK LLOYD O. GIMENA</t>
  </si>
  <si>
    <t>OIC - Terminal Manager</t>
  </si>
  <si>
    <t>OFFICE: City Slaughterhouse</t>
  </si>
  <si>
    <t>Other Supplies and Materials Expense</t>
  </si>
  <si>
    <t>Repairs &amp; Maintenance-Other Machineries and Equipment</t>
  </si>
  <si>
    <t>Repairs &amp; Maintenance -Transportation Equipment</t>
  </si>
  <si>
    <t>FDPP Form 1b - Annual Budget Report, Summary</t>
  </si>
  <si>
    <t>GENERAL FUND</t>
  </si>
  <si>
    <t>A. Current Operating Expenditures</t>
  </si>
  <si>
    <t>1. Personal Services</t>
  </si>
  <si>
    <t>2. Maintenance &amp; Other Operating Expenses</t>
  </si>
  <si>
    <t>Animal/Zoological Supplies Expenses</t>
  </si>
  <si>
    <t>Medical, Dental and Laboratory Supplies Expenses</t>
  </si>
  <si>
    <t>Textbooks and Instructional Materials Expenses</t>
  </si>
  <si>
    <t>Cable, Satellite Telegraph and Radio Expenses</t>
  </si>
  <si>
    <t>Repairs and Maintenance - Buildings and Other Structures</t>
  </si>
  <si>
    <t>Repairs &amp; Maintenance - Machinery &amp; Equipment</t>
  </si>
  <si>
    <t>Repairs &amp; Maintenance - Other Property, Plant and Equipment</t>
  </si>
  <si>
    <t>Printing and Publication of Expenses</t>
  </si>
  <si>
    <t>Environment / Sanitary Services</t>
  </si>
  <si>
    <t>3. Special Purpose Appropriation</t>
  </si>
  <si>
    <t>TOTAL SPECIAL PURPOSE APPROPRIATION</t>
  </si>
  <si>
    <t>4. Capital Outlay</t>
  </si>
  <si>
    <t>5. Capital Project</t>
  </si>
  <si>
    <t>Capital Project</t>
  </si>
  <si>
    <t>TOTAL CAPITAL PROJECTS</t>
  </si>
  <si>
    <t>6. Devolved Transition Plan</t>
  </si>
  <si>
    <t>Devolved Transition Plan</t>
  </si>
  <si>
    <t>7. Budgetary Requirements</t>
  </si>
  <si>
    <t>20% Development Fund</t>
  </si>
  <si>
    <t>5% LDRRMF</t>
  </si>
  <si>
    <t>Aid to Component Barangays</t>
  </si>
  <si>
    <t>TOTAL BUDGETARY REQUIREMENTS</t>
  </si>
  <si>
    <t>8. Loan Amortization</t>
  </si>
  <si>
    <t>General Fund</t>
  </si>
  <si>
    <t>TOTAL LOAN AMORTIZATION</t>
  </si>
  <si>
    <t>APPROVED:</t>
  </si>
  <si>
    <t>ECONOMIC ENTERPRISE</t>
  </si>
  <si>
    <t>2022 OBLI</t>
  </si>
  <si>
    <t>2022 APPRO</t>
  </si>
  <si>
    <t>MARKET</t>
  </si>
  <si>
    <t xml:space="preserve">TERMINAL </t>
  </si>
  <si>
    <t>SLAUGHTER</t>
  </si>
</sst>
</file>

<file path=xl/styles.xml><?xml version="1.0" encoding="utf-8"?>
<styleSheet xmlns="http://schemas.openxmlformats.org/spreadsheetml/2006/main" xml:space="preserve">
  <numFmts count="31">
    <numFmt numFmtId="164" formatCode="\ \ \ \P_(* #,##0.00_);_(* \(#,##0.00\);_(* &quot;-&quot;??_);_(@_)"/>
    <numFmt numFmtId="165" formatCode="\ \ \ \ * #,##0.00_);_(* \(#,##0.00\);_(* &quot;-&quot;??_);_(@_)"/>
    <numFmt numFmtId="166" formatCode="\ \ _(* #,##0.00_);_(* \(#,##0.00\);_(* &quot;-&quot;??_);_(@_)"/>
    <numFmt numFmtId="167" formatCode="\ \ \ * #,##0.00_);_(* \(#,##0.00\);_(* &quot;-&quot;??_);_(@_)"/>
    <numFmt numFmtId="168" formatCode="_(* #,##0.00_);_(* \(#,##0.00\);_(* &quot;-&quot;??_);_(@_)"/>
    <numFmt numFmtId="169" formatCode="_-* #,##0.00_-;\-* #,##0.00_-;_-* &quot;-&quot;??_-;_-@_-"/>
    <numFmt numFmtId="170" formatCode="\P\ * #,##0.00_);_(* \(#,##0.00\);_(* &quot;-&quot;??_);_(@_)"/>
    <numFmt numFmtId="171" formatCode="\ * #,##0.00_);_(* \(#,##0.00\);_(* &quot;-&quot;??_);_(@_)"/>
    <numFmt numFmtId="172" formatCode="\ \ \P\ \ _(* #,##0.00_);_(* \(#,##0.00\);_(* &quot;-&quot;??_);_(@_)"/>
    <numFmt numFmtId="173" formatCode="\ \ * #,##0.00_);_(* \(#,##0.00\);_(* &quot;-&quot;??_);_(@_)"/>
    <numFmt numFmtId="174" formatCode="\ \ \ _(* #,##0.00_);_(* \(#,##0.00\);_(* &quot;-&quot;??_);_(@_)"/>
    <numFmt numFmtId="175" formatCode="\P_(* #,##0.00_);_(* \(#,##0.00\);_(* &quot;-&quot;??_);_(@_)"/>
    <numFmt numFmtId="176" formatCode="\P\ \ \ * #,##0.00_);_(* \(#,##0.00\);_(* &quot;-&quot;??_);_(@_)"/>
    <numFmt numFmtId="177" formatCode="\P\ \ * #,##0.00_);_(* \(#,##0.00\);_(* &quot;-&quot;??_);_(@_)"/>
    <numFmt numFmtId="178" formatCode="\ \P\ _(* #,##0.00_);_(* \(#,##0.00\);_(* &quot;-&quot;??_);_(@_)"/>
    <numFmt numFmtId="179" formatCode="\ \ \ \P\ \ \ _(* #,##0.00_);_(* \(#,##0.00\);_(* &quot;-&quot;??_);_(@_)"/>
    <numFmt numFmtId="180" formatCode="00000"/>
    <numFmt numFmtId="181" formatCode="\P\ \ _(* #,##0.00_);_(* \(#,##0.00\);_(* &quot;-&quot;??_);_(@_)"/>
    <numFmt numFmtId="182" formatCode="\P\ _ * #,##0.00_);_(* \(#,##0.00\);_(* &quot;-&quot;??_);_(@_)"/>
    <numFmt numFmtId="183" formatCode="\ \ \P\ _ * #,##0.00_);_(* \(#,##0.00\);_(* &quot;-&quot;??_);_(@_)"/>
    <numFmt numFmtId="184" formatCode="\P\ _(* #,##0.00_);_(* \(#,##0.00\);_(* &quot;-&quot;??_);_(@_)"/>
    <numFmt numFmtId="185" formatCode="_(* #,##0.000_);_(* \(#,##0.000\);_(* &quot;-&quot;??_);_(@_)"/>
    <numFmt numFmtId="186" formatCode="\ \P_(* #,##0.00_);_(* \(#,##0.00\);_(* &quot;-&quot;??_);_(@_)"/>
    <numFmt numFmtId="187" formatCode="\ \P\ \ _(* #,##0.00_);_(* \(#,##0.00\);_(* &quot;-&quot;??_);_(@_)"/>
    <numFmt numFmtId="188" formatCode="\ \P\ \ \ _(* #,##0.00_);_(* \(#,##0.00\);_(* &quot;-&quot;??_);_(@_)"/>
    <numFmt numFmtId="189" formatCode="\ \ \ \P\ * #,##0.00_);_(* \(#,##0.00\);_(* &quot;-&quot;??_);_(@_)"/>
    <numFmt numFmtId="190" formatCode="\ \ \P_(* #,##0.00_);_(* \(#,##0.00\);_(* &quot;-&quot;??_);_(@_)"/>
    <numFmt numFmtId="191" formatCode="\ \P\ \ \ * #,##0.00_);_(* \(#,##0.00\);_(* &quot;-&quot;??_);_(@_)"/>
    <numFmt numFmtId="192" formatCode="\ \ \ \P\ \ \ \ _(* #,##0.00_);_(* \(#,##0.00\);_(* &quot;-&quot;??_);_(@_)"/>
    <numFmt numFmtId="193" formatCode="\ \ \P\ _-* #,##0.00_-;\-* #,##0.00_-;_-* &quot;-&quot;??_-;_-@_-"/>
    <numFmt numFmtId="194" formatCode="\ _(* #,##0.00_);_(* \(#,##0.00\);_(* &quot;-&quot;??_);_(@_)"/>
  </numFmts>
  <fonts count="12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Lucida Sans Unicode"/>
    </font>
    <font>
      <b val="0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FF"/>
      <name val="Lucida Sans Unicode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singleAccounting"/>
      <sz val="9"/>
      <color rgb="FF000000"/>
      <name val="Arial"/>
    </font>
    <font>
      <b val="1"/>
      <i val="0"/>
      <strike val="0"/>
      <u val="none"/>
      <sz val="12"/>
      <color rgb="FF000080"/>
      <name val="Arial"/>
    </font>
    <font>
      <b val="0"/>
      <i val="0"/>
      <strike val="0"/>
      <u val="none"/>
      <sz val="16"/>
      <color rgb="FF000000"/>
      <name val="StoneSerif SBIN SmBd v.1"/>
    </font>
    <font>
      <b val="1"/>
      <i val="1"/>
      <strike val="0"/>
      <u val="none"/>
      <sz val="9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1"/>
      <strike val="0"/>
      <u val="none"/>
      <sz val="10"/>
      <color rgb="FFFFFFFF"/>
      <name val="Arial"/>
    </font>
    <font>
      <b val="1"/>
      <i val="0"/>
      <strike val="0"/>
      <u val="none"/>
      <sz val="10"/>
      <color rgb="FFFF0000"/>
      <name val="Tahoma"/>
    </font>
    <font>
      <b val="1"/>
      <i val="1"/>
      <strike val="0"/>
      <u val="none"/>
      <sz val="10"/>
      <color rgb="FF0000FF"/>
      <name val="Arial"/>
    </font>
    <font>
      <b val="1"/>
      <i val="1"/>
      <strike val="0"/>
      <u val="none"/>
      <sz val="9"/>
      <color rgb="FF0000FF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6"/>
      <color rgb="FF000000"/>
      <name val="Cambria"/>
    </font>
    <font>
      <b val="0"/>
      <i val="1"/>
      <strike val="0"/>
      <u val="singleAccounting"/>
      <sz val="9"/>
      <color rgb="FF000000"/>
      <name val="Arial"/>
    </font>
    <font>
      <b val="1"/>
      <i val="1"/>
      <strike val="0"/>
      <u val="singleAccounting"/>
      <sz val="9"/>
      <color rgb="FF000000"/>
      <name val="Arial"/>
    </font>
    <font>
      <b val="0"/>
      <i val="0"/>
      <strike val="0"/>
      <u val="single"/>
      <sz val="10"/>
      <color rgb="FF000000"/>
      <name val="Tahoma"/>
    </font>
    <font>
      <b val="1"/>
      <i val="1"/>
      <strike val="0"/>
      <u val="none"/>
      <sz val="9"/>
      <color rgb="FFFF0000"/>
      <name val="Arial"/>
    </font>
    <font>
      <b val="1"/>
      <i val="1"/>
      <strike val="0"/>
      <u val="singleAccounting"/>
      <sz val="9"/>
      <color rgb="FFFF0000"/>
      <name val="Arial"/>
    </font>
    <font>
      <b val="1"/>
      <i val="0"/>
      <strike val="0"/>
      <u val="singleAccounting"/>
      <sz val="9"/>
      <color rgb="FFFF0000"/>
      <name val="Arial"/>
    </font>
    <font>
      <b val="0"/>
      <i val="0"/>
      <strike val="0"/>
      <u val="none"/>
      <sz val="9"/>
      <color rgb="FFFFFFFF"/>
      <name val="Arial"/>
    </font>
    <font>
      <b val="1"/>
      <i val="0"/>
      <strike val="0"/>
      <u val="none"/>
      <sz val="9"/>
      <color rgb="FF000080"/>
      <name val="Arial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FF0000"/>
      <name val="Tahoma"/>
    </font>
    <font>
      <b val="0"/>
      <i val="0"/>
      <strike val="0"/>
      <u val="none"/>
      <sz val="9"/>
      <color rgb="FF000000"/>
      <name val="Lucida Sans Unicode"/>
    </font>
    <font>
      <b val="1"/>
      <i val="0"/>
      <strike val="0"/>
      <u val="none"/>
      <sz val="9"/>
      <color rgb="FF0000FF"/>
      <name val="Lucida Sans Unicode"/>
    </font>
    <font>
      <b val="0"/>
      <i val="0"/>
      <strike val="0"/>
      <u val="none"/>
      <sz val="9"/>
      <color rgb="FFFF0000"/>
      <name val="Tahoma"/>
    </font>
    <font>
      <b val="0"/>
      <i val="0"/>
      <strike val="0"/>
      <u val="none"/>
      <sz val="9"/>
      <color rgb="FF000080"/>
      <name val="Arial"/>
    </font>
    <font>
      <b val="0"/>
      <i val="0"/>
      <strike val="0"/>
      <u val="none"/>
      <sz val="9"/>
      <color rgb="FF0000FF"/>
      <name val="Lucida Sans Unicode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FF0000"/>
      <name val="Arial"/>
    </font>
    <font>
      <b val="0"/>
      <i val="1"/>
      <strike val="0"/>
      <u val="none"/>
      <sz val="6"/>
      <color rgb="FF000000"/>
      <name val="Arial"/>
    </font>
    <font>
      <b val="0"/>
      <i val="1"/>
      <strike val="0"/>
      <u val="none"/>
      <sz val="6"/>
      <color rgb="FF000000"/>
      <name val="Lucida Sans Unicode"/>
    </font>
    <font>
      <b val="0"/>
      <i val="0"/>
      <strike val="0"/>
      <u val="none"/>
      <sz val="7"/>
      <color rgb="FF000000"/>
      <name val="Lucida Sans Unicode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0"/>
      <i val="0"/>
      <strike val="0"/>
      <u val="singleAccounting"/>
      <sz val="9"/>
      <color rgb="FF000000"/>
      <name val="Tahoma"/>
    </font>
    <font>
      <b val="0"/>
      <i val="0"/>
      <strike val="0"/>
      <u val="doubleAccounting"/>
      <sz val="9"/>
      <color rgb="FFFF0000"/>
      <name val="Arial"/>
    </font>
    <font>
      <b val="0"/>
      <i val="0"/>
      <strike val="0"/>
      <u val="none"/>
      <sz val="9"/>
      <color rgb="FFFF0000"/>
      <name val="Arial"/>
    </font>
    <font>
      <b val="0"/>
      <i val="0"/>
      <strike val="0"/>
      <u val="singleAccounting"/>
      <sz val="9"/>
      <color rgb="FFFF0000"/>
      <name val="Arial"/>
    </font>
    <font>
      <b val="1"/>
      <i val="0"/>
      <strike val="0"/>
      <u val="doubleAccounting"/>
      <sz val="9"/>
      <color rgb="FFFF0000"/>
      <name val="Arial"/>
    </font>
    <font>
      <b val="1"/>
      <i val="0"/>
      <strike val="0"/>
      <u val="none"/>
      <sz val="12"/>
      <color rgb="FF000000"/>
      <name val="Arial Black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FF"/>
      <name val="Arial Black"/>
    </font>
    <font>
      <b val="1"/>
      <i val="0"/>
      <strike val="0"/>
      <u val="none"/>
      <sz val="10"/>
      <color rgb="FF000000"/>
      <name val="Tahoma"/>
    </font>
    <font>
      <b val="0"/>
      <i val="1"/>
      <strike val="0"/>
      <u val="none"/>
      <sz val="11"/>
      <color rgb="FF000000"/>
      <name val="Arial"/>
    </font>
    <font>
      <b val="0"/>
      <i val="0"/>
      <strike val="0"/>
      <u val="none"/>
      <sz val="9"/>
      <color rgb="FF0000FF"/>
      <name val="Arial"/>
    </font>
    <font>
      <b val="0"/>
      <i val="0"/>
      <strike val="0"/>
      <u val="none"/>
      <sz val="11"/>
      <color rgb="FF0000FF"/>
      <name val="Lucida Sans"/>
    </font>
    <font>
      <b val="0"/>
      <i val="0"/>
      <strike val="0"/>
      <u val="none"/>
      <sz val="11"/>
      <color rgb="FF660066"/>
      <name val="Lucida Sans"/>
    </font>
    <font>
      <b val="0"/>
      <i val="0"/>
      <strike val="0"/>
      <u val="none"/>
      <sz val="9"/>
      <color rgb="FF660066"/>
      <name val="Arial"/>
    </font>
    <font>
      <b val="0"/>
      <i val="1"/>
      <strike val="0"/>
      <u val="none"/>
      <sz val="9"/>
      <color rgb="FFFF0000"/>
      <name val="Arial"/>
    </font>
    <font>
      <b val="0"/>
      <i val="0"/>
      <strike val="0"/>
      <u val="single"/>
      <sz val="9"/>
      <color rgb="FFFF0000"/>
      <name val="Arial"/>
    </font>
    <font>
      <b val="0"/>
      <i val="0"/>
      <strike val="0"/>
      <u val="none"/>
      <sz val="9"/>
      <color rgb="FFFF0000"/>
      <name val="Lucida Sans Unicode"/>
    </font>
    <font>
      <b val="1"/>
      <i val="0"/>
      <strike val="0"/>
      <u val="none"/>
      <sz val="8"/>
      <color rgb="FFFF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0"/>
      <color rgb="FFFF0000"/>
      <name val="Tahoma"/>
    </font>
    <font>
      <b val="0"/>
      <i val="0"/>
      <strike val="0"/>
      <u val="none"/>
      <sz val="11"/>
      <color rgb="FF000000"/>
      <name val="Lucida Sans Unicode"/>
    </font>
    <font>
      <b val="0"/>
      <i val="0"/>
      <strike val="0"/>
      <u val="none"/>
      <sz val="11"/>
      <color rgb="FF0000FF"/>
      <name val="Arial"/>
    </font>
    <font>
      <b val="1"/>
      <i val="1"/>
      <strike val="0"/>
      <u val="none"/>
      <sz val="9"/>
      <color rgb="FF0070C0"/>
      <name val="Arial"/>
    </font>
    <font>
      <b val="0"/>
      <i val="0"/>
      <strike val="0"/>
      <u val="none"/>
      <sz val="11"/>
      <color rgb="FF00B050"/>
      <name val="Arial"/>
    </font>
    <font>
      <b val="1"/>
      <i val="0"/>
      <strike val="0"/>
      <u val="none"/>
      <sz val="10"/>
      <color rgb="FF000000"/>
      <name val="Lucida Sans Unicode"/>
    </font>
    <font>
      <b val="1"/>
      <i val="1"/>
      <strike val="0"/>
      <u val="none"/>
      <sz val="9"/>
      <color rgb="FF00B050"/>
      <name val="Arial"/>
    </font>
    <font>
      <b val="0"/>
      <i val="0"/>
      <strike val="0"/>
      <u val="none"/>
      <sz val="10"/>
      <color rgb="FF0000FF"/>
      <name val="Arial"/>
    </font>
    <font>
      <b val="0"/>
      <i val="0"/>
      <strike val="0"/>
      <u val="single"/>
      <sz val="9"/>
      <color rgb="FF000000"/>
      <name val="Arial"/>
    </font>
    <font>
      <b val="1"/>
      <i val="0"/>
      <strike val="0"/>
      <u val="none"/>
      <sz val="9"/>
      <color rgb="FF0000FF"/>
      <name val="Arial"/>
    </font>
    <font>
      <b val="1"/>
      <i val="0"/>
      <strike val="0"/>
      <u val="singleAccounting"/>
      <sz val="9"/>
      <color rgb="FF0000FF"/>
      <name val="Arial"/>
    </font>
    <font>
      <b val="1"/>
      <i val="0"/>
      <strike val="0"/>
      <u val="none"/>
      <sz val="10"/>
      <color rgb="FF0000FF"/>
      <name val="Tahoma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8"/>
      <color rgb="FFFF0000"/>
      <name val="Tahoma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9"/>
      <color rgb="FF002060"/>
      <name val="Arial"/>
    </font>
    <font>
      <b val="0"/>
      <i val="0"/>
      <strike val="0"/>
      <u val="none"/>
      <sz val="11"/>
      <color rgb="FF002060"/>
      <name val="Arial"/>
    </font>
    <font>
      <b val="1"/>
      <i val="0"/>
      <strike val="0"/>
      <u val="singleAccounting"/>
      <sz val="9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1"/>
      <strike val="0"/>
      <u val="none"/>
      <sz val="11"/>
      <color rgb="FF000000"/>
      <name val="Lucida Sans"/>
    </font>
    <font>
      <b val="0"/>
      <i val="1"/>
      <strike val="0"/>
      <u val="none"/>
      <sz val="11"/>
      <color rgb="FF00B050"/>
      <name val="Lucida Sans"/>
    </font>
    <font>
      <b val="0"/>
      <i val="1"/>
      <strike val="0"/>
      <u val="none"/>
      <sz val="11"/>
      <color rgb="FF993366"/>
      <name val="Lucida Sans"/>
    </font>
    <font>
      <b val="1"/>
      <i val="1"/>
      <strike val="0"/>
      <u val="none"/>
      <sz val="10"/>
      <color rgb="FF0000CC"/>
      <name val="Arial"/>
    </font>
    <font>
      <b val="1"/>
      <i val="0"/>
      <strike val="0"/>
      <u val="none"/>
      <sz val="9"/>
      <color rgb="FF00B050"/>
      <name val="Arial"/>
    </font>
    <font>
      <b val="0"/>
      <i val="0"/>
      <strike val="0"/>
      <u val="none"/>
      <sz val="10"/>
      <color rgb="FF993366"/>
      <name val="Arial"/>
    </font>
    <font>
      <b val="1"/>
      <i val="0"/>
      <strike val="0"/>
      <u val="singleAccounting"/>
      <sz val="9"/>
      <color rgb="FF00B050"/>
      <name val="Arial"/>
    </font>
    <font>
      <b val="0"/>
      <i val="0"/>
      <strike val="0"/>
      <u val="none"/>
      <sz val="10"/>
      <color rgb="FF00B050"/>
      <name val="Arial"/>
    </font>
    <font>
      <b val="0"/>
      <i val="1"/>
      <strike val="0"/>
      <u val="none"/>
      <sz val="9"/>
      <color rgb="FF993366"/>
      <name val="Arial"/>
    </font>
    <font>
      <b val="1"/>
      <i val="1"/>
      <strike val="0"/>
      <u val="none"/>
      <sz val="9"/>
      <color rgb="FF0000CC"/>
      <name val="Arial"/>
    </font>
    <font>
      <b val="1"/>
      <i val="1"/>
      <strike val="0"/>
      <u val="none"/>
      <sz val="8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1"/>
      <color rgb="FF0000FF"/>
      <name val="Lucida Sans Unicode"/>
    </font>
    <font>
      <b val="0"/>
      <i val="0"/>
      <strike val="0"/>
      <u val="none"/>
      <sz val="9"/>
      <color rgb="FF800080"/>
      <name val="Arial"/>
    </font>
    <font>
      <b val="0"/>
      <i val="0"/>
      <strike val="0"/>
      <u val="none"/>
      <sz val="10"/>
      <color rgb="FF800080"/>
      <name val="Arial"/>
    </font>
    <font>
      <b val="1"/>
      <i val="1"/>
      <strike val="0"/>
      <u val="none"/>
      <sz val="10"/>
      <color rgb="FF0070C0"/>
      <name val="Arial"/>
    </font>
    <font>
      <b val="1"/>
      <i val="1"/>
      <strike val="0"/>
      <u val="none"/>
      <sz val="9"/>
      <color rgb="FF002060"/>
      <name val="Arial"/>
    </font>
    <font>
      <b val="1"/>
      <i val="0"/>
      <strike val="0"/>
      <u val="none"/>
      <sz val="9"/>
      <color rgb="FF002060"/>
      <name val="Arial"/>
    </font>
    <font>
      <b val="0"/>
      <i val="0"/>
      <strike val="0"/>
      <u val="none"/>
      <sz val="8"/>
      <color rgb="FF00B050"/>
      <name val="Arial"/>
    </font>
    <font>
      <b val="1"/>
      <i val="0"/>
      <strike val="0"/>
      <u val="none"/>
      <sz val="11"/>
      <color rgb="FF000000"/>
      <name val="Lucida Sans Unicode"/>
    </font>
    <font>
      <b val="0"/>
      <i val="0"/>
      <strike val="0"/>
      <u val="none"/>
      <sz val="9"/>
      <color rgb="FF0000CC"/>
      <name val="Arial"/>
    </font>
    <font>
      <b val="1"/>
      <i val="0"/>
      <strike val="0"/>
      <u val="none"/>
      <sz val="9"/>
      <color rgb="FF0000CC"/>
      <name val="Arial"/>
    </font>
    <font>
      <b val="1"/>
      <i val="0"/>
      <strike val="0"/>
      <u val="none"/>
      <sz val="12"/>
      <color rgb="FF0000CC"/>
      <name val="Arial"/>
    </font>
    <font>
      <b val="0"/>
      <i val="0"/>
      <strike val="0"/>
      <u val="singleAccounting"/>
      <sz val="9"/>
      <color rgb="FF00B050"/>
      <name val="Arial"/>
    </font>
    <font>
      <b val="1"/>
      <i val="0"/>
      <strike val="0"/>
      <u val="none"/>
      <sz val="10"/>
      <color rgb="FF000000"/>
      <name val="Arial Black"/>
    </font>
    <font>
      <b val="0"/>
      <i val="0"/>
      <strike val="0"/>
      <u val="none"/>
      <sz val="10"/>
      <color rgb="FF0000FF"/>
      <name val="Lucida Sans Unicode"/>
    </font>
    <font>
      <b val="1"/>
      <i val="0"/>
      <strike val="0"/>
      <u val="none"/>
      <sz val="10"/>
      <color rgb="FF0000FF"/>
      <name val="Arial"/>
    </font>
    <font>
      <b val="0"/>
      <i val="0"/>
      <strike val="0"/>
      <u val="none"/>
      <sz val="10"/>
      <color rgb="FFFF0000"/>
      <name val="Arial"/>
    </font>
    <font>
      <b val="1"/>
      <i val="0"/>
      <strike val="0"/>
      <u val="none"/>
      <sz val="11"/>
      <color rgb="FF0033CC"/>
      <name val="Arial Black"/>
    </font>
    <font>
      <b val="1"/>
      <i val="0"/>
      <strike val="0"/>
      <u val="none"/>
      <sz val="11"/>
      <color rgb="FF000000"/>
      <name val="Arial Black"/>
    </font>
    <font>
      <b val="0"/>
      <i val="0"/>
      <strike val="0"/>
      <u val="none"/>
      <sz val="12"/>
      <color rgb="FF0033CC"/>
      <name val="Arial Black"/>
    </font>
    <font>
      <b val="1"/>
      <i val="0"/>
      <strike val="0"/>
      <u val="none"/>
      <sz val="12"/>
      <color rgb="FF0033CC"/>
      <name val="Arial"/>
    </font>
    <font>
      <b val="1"/>
      <i val="1"/>
      <strike val="0"/>
      <u val="none"/>
      <sz val="12"/>
      <color rgb="FF000000"/>
      <name val="Arial Black"/>
    </font>
    <font>
      <b val="1"/>
      <i val="1"/>
      <strike val="0"/>
      <u val="none"/>
      <sz val="12"/>
      <color rgb="FF0000FF"/>
      <name val="Arial Black"/>
    </font>
    <font>
      <b val="0"/>
      <i val="1"/>
      <strike val="0"/>
      <u val="none"/>
      <sz val="12"/>
      <color rgb="FF000000"/>
      <name val="Arial Black"/>
    </font>
    <font>
      <b val="1"/>
      <i val="1"/>
      <strike val="0"/>
      <u val="none"/>
      <sz val="10"/>
      <color rgb="FF002060"/>
      <name val="Arial"/>
    </font>
    <font>
      <b val="0"/>
      <i val="0"/>
      <strike val="0"/>
      <u val="none"/>
      <sz val="10"/>
      <color rgb="FF800080"/>
      <name val="Tahoma"/>
    </font>
    <font>
      <b val="1"/>
      <i val="1"/>
      <strike val="0"/>
      <u val="none"/>
      <sz val="9"/>
      <color rgb="FF800080"/>
      <name val="Arial"/>
    </font>
    <font>
      <b val="0"/>
      <i val="0"/>
      <strike val="0"/>
      <u val="none"/>
      <sz val="11"/>
      <color rgb="FF800080"/>
      <name val="Arial"/>
    </font>
    <font>
      <b val="1"/>
      <i val="0"/>
      <strike val="0"/>
      <u val="singleAccounting"/>
      <sz val="9"/>
      <color rgb="FFC00000"/>
      <name val="Arial"/>
    </font>
    <font>
      <b val="0"/>
      <i val="0"/>
      <strike val="0"/>
      <u val="none"/>
      <sz val="10"/>
      <color rgb="FF000000"/>
      <name val="Arial Black"/>
    </font>
    <font>
      <b val="0"/>
      <i val="0"/>
      <strike val="0"/>
      <u val="single"/>
      <sz val="9.5"/>
      <color rgb="FF0000FF"/>
      <name val="Arial"/>
    </font>
    <font>
      <b val="1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0000FF"/>
      <name val="Lucida Sans"/>
    </font>
    <font>
      <b val="0"/>
      <i val="0"/>
      <strike val="0"/>
      <u val="singleAccounting"/>
      <sz val="11"/>
      <color rgb="FF000000"/>
      <name val="Arial"/>
    </font>
    <font>
      <b val="0"/>
      <i val="0"/>
      <strike val="0"/>
      <u val="none"/>
      <sz val="9"/>
      <color rgb="FF0000FF"/>
      <name val="Lucida Sans"/>
    </font>
    <font>
      <b val="0"/>
      <i val="0"/>
      <strike val="0"/>
      <u val="singleAccounting"/>
      <sz val="10"/>
      <color rgb="FF000000"/>
      <name val="Arial"/>
    </font>
    <font>
      <b val="1"/>
      <i val="1"/>
      <strike val="0"/>
      <u val="none"/>
      <sz val="14"/>
      <color rgb="FF003300"/>
      <name val="Cambria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0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hair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top style="hair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</borders>
  <cellStyleXfs count="1">
    <xf numFmtId="0" fontId="0" fillId="0" borderId="0"/>
  </cellStyleXfs>
  <cellXfs count="152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164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0" numFmtId="0" fillId="2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1">
      <alignment horizontal="left" vertical="bottom" textRotation="0" wrapText="false" shrinkToFit="false"/>
    </xf>
    <xf xfId="0" fontId="11" numFmtId="0" fillId="2" borderId="0" applyFont="1" applyNumberFormat="0" applyFill="0" applyBorder="0" applyAlignment="0">
      <alignment horizontal="general" vertical="bottom" textRotation="0" wrapText="false" shrinkToFit="false"/>
    </xf>
    <xf xfId="0" fontId="12" numFmtId="0" fillId="2" borderId="0" applyFont="1" applyNumberFormat="0" applyFill="0" applyBorder="0" applyAlignment="0">
      <alignment horizontal="general" vertical="bottom" textRotation="0" wrapText="false" shrinkToFit="false"/>
    </xf>
    <xf xfId="0" fontId="13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14" numFmtId="0" fillId="2" borderId="0" applyFont="1" applyNumberFormat="0" applyFill="0" applyBorder="0" applyAlignment="0">
      <alignment horizontal="general" vertical="bottom" textRotation="0" wrapText="false" shrinkToFit="false"/>
    </xf>
    <xf xfId="0" fontId="15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5" numFmtId="165" fillId="2" borderId="0" applyFont="1" applyNumberFormat="1" applyFill="0" applyBorder="0" applyAlignment="1">
      <alignment horizontal="left" vertical="bottom" textRotation="0" wrapText="false" shrinkToFit="false"/>
    </xf>
    <xf xfId="0" fontId="16" numFmtId="0" fillId="2" borderId="0" applyFont="1" applyNumberFormat="0" applyFill="0" applyBorder="0" applyAlignment="1">
      <alignment horizontal="left" vertical="bottom" textRotation="0" wrapText="false" shrinkToFit="false"/>
    </xf>
    <xf xfId="0" fontId="5" numFmtId="166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17" numFmtId="0" fillId="2" borderId="0" applyFont="1" applyNumberFormat="0" applyFill="0" applyBorder="0" applyAlignment="0">
      <alignment horizontal="general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17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11" numFmtId="167" fillId="2" borderId="0" applyFont="1" applyNumberFormat="1" applyFill="0" applyBorder="0" applyAlignment="1">
      <alignment horizontal="left" vertical="bottom" textRotation="0" wrapText="false" shrinkToFit="false"/>
    </xf>
    <xf xfId="0" fontId="18" numFmtId="0" fillId="2" borderId="0" applyFont="1" applyNumberFormat="0" applyFill="0" applyBorder="0" applyAlignment="1">
      <alignment horizontal="left" vertical="bottom" textRotation="0" wrapText="false" shrinkToFit="false"/>
    </xf>
    <xf xfId="0" fontId="13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17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17" numFmtId="168" fillId="2" borderId="0" applyFont="1" applyNumberFormat="1" applyFill="0" applyBorder="0" applyAlignment="1">
      <alignment horizontal="left" vertical="bottom" textRotation="0" wrapText="false" shrinkToFit="false"/>
    </xf>
    <xf xfId="0" fontId="19" numFmtId="168" fillId="2" borderId="0" applyFont="1" applyNumberFormat="1" applyFill="0" applyBorder="0" applyAlignment="1">
      <alignment horizontal="left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bottom" textRotation="0" wrapText="false" shrinkToFit="false"/>
    </xf>
    <xf xfId="0" fontId="19" numFmtId="167" fillId="2" borderId="0" applyFont="1" applyNumberFormat="1" applyFill="0" applyBorder="0" applyAlignment="1">
      <alignment horizontal="left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166" fillId="2" borderId="0" applyFont="1" applyNumberFormat="1" applyFill="0" applyBorder="0" applyAlignment="1">
      <alignment horizontal="left" vertical="center" textRotation="0" wrapText="false" shrinkToFit="false"/>
    </xf>
    <xf xfId="0" fontId="5" numFmtId="0" fillId="2" borderId="0" applyFont="1" applyNumberFormat="0" applyFill="0" applyBorder="0" applyAlignment="1">
      <alignment horizontal="left" vertical="center" textRotation="0" wrapText="false" shrinkToFit="false"/>
    </xf>
    <xf xfId="0" fontId="17" numFmtId="0" fillId="2" borderId="0" applyFont="1" applyNumberFormat="0" applyFill="0" applyBorder="0" applyAlignment="1">
      <alignment horizontal="general" vertical="center" textRotation="0" wrapText="false" shrinkToFit="false"/>
    </xf>
    <xf xfId="0" fontId="17" numFmtId="167" fillId="2" borderId="0" applyFont="1" applyNumberFormat="1" applyFill="0" applyBorder="0" applyAlignment="1">
      <alignment horizontal="left" vertical="center" textRotation="0" wrapText="false" shrinkToFit="false"/>
    </xf>
    <xf xfId="0" fontId="17" numFmtId="167" fillId="2" borderId="0" applyFont="1" applyNumberFormat="1" applyFill="0" applyBorder="0" applyAlignment="1">
      <alignment horizontal="right" vertical="bottom" textRotation="0" wrapText="false" shrinkToFit="false"/>
    </xf>
    <xf xfId="0" fontId="19" numFmtId="167" fillId="2" borderId="0" applyFont="1" applyNumberFormat="1" applyFill="0" applyBorder="0" applyAlignment="1">
      <alignment horizontal="right" vertical="bottom" textRotation="0" wrapText="false" shrinkToFit="false"/>
    </xf>
    <xf xfId="0" fontId="20" numFmtId="168" fillId="2" borderId="0" applyFont="1" applyNumberFormat="1" applyFill="0" applyBorder="0" applyAlignment="1">
      <alignment horizontal="general" vertical="center" textRotation="0" wrapText="false" shrinkToFit="false"/>
    </xf>
    <xf xfId="0" fontId="11" numFmtId="168" fillId="2" borderId="0" applyFont="1" applyNumberFormat="1" applyFill="0" applyBorder="0" applyAlignment="1">
      <alignment horizontal="left" vertical="center" textRotation="0" wrapText="false" shrinkToFit="false"/>
    </xf>
    <xf xfId="0" fontId="21" numFmtId="0" fillId="2" borderId="0" applyFont="1" applyNumberFormat="0" applyFill="0" applyBorder="0" applyAlignment="1">
      <alignment horizontal="general" vertical="center" textRotation="0" wrapText="false" shrinkToFit="false"/>
    </xf>
    <xf xfId="0" fontId="17" numFmtId="168" fillId="2" borderId="0" applyFont="1" applyNumberFormat="1" applyFill="0" applyBorder="0" applyAlignment="1">
      <alignment horizontal="left" vertical="center" textRotation="0" wrapText="false" shrinkToFit="false"/>
    </xf>
    <xf xfId="0" fontId="5" numFmtId="165" fillId="2" borderId="0" applyFont="1" applyNumberFormat="1" applyFill="0" applyBorder="0" applyAlignment="1">
      <alignment horizontal="left" vertical="center" textRotation="0" wrapText="false" shrinkToFit="false"/>
    </xf>
    <xf xfId="0" fontId="11" numFmtId="0" fillId="2" borderId="0" applyFont="1" applyNumberFormat="0" applyFill="0" applyBorder="0" applyAlignment="1">
      <alignment horizontal="left" vertical="center" textRotation="0" wrapText="false" shrinkToFit="false"/>
    </xf>
    <xf xfId="0" fontId="17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17" numFmtId="168" fillId="2" borderId="0" applyFont="1" applyNumberFormat="1" applyFill="0" applyBorder="0" applyAlignment="0">
      <alignment horizontal="general" vertical="bottom" textRotation="0" wrapText="false" shrinkToFit="false"/>
    </xf>
    <xf xfId="0" fontId="19" numFmtId="168" fillId="2" borderId="0" applyFont="1" applyNumberFormat="1" applyFill="0" applyBorder="0" applyAlignment="0">
      <alignment horizontal="general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16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15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9" numFmtId="169" fillId="2" borderId="0" applyFont="1" applyNumberFormat="1" applyFill="0" applyBorder="0" applyAlignment="0">
      <alignment horizontal="general" vertical="bottom" textRotation="0" wrapText="false" shrinkToFit="false"/>
    </xf>
    <xf xfId="0" fontId="22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22" numFmtId="0" fillId="2" borderId="0" applyFont="1" applyNumberFormat="0" applyFill="0" applyBorder="0" applyAlignment="1">
      <alignment horizontal="left" vertical="center" textRotation="0" wrapText="false" shrinkToFit="false"/>
    </xf>
    <xf xfId="0" fontId="22" numFmtId="0" fillId="2" borderId="0" applyFont="1" applyNumberFormat="0" applyFill="0" applyBorder="0" applyAlignment="1">
      <alignment horizontal="general" vertical="center" textRotation="0" wrapText="false" shrinkToFit="false"/>
    </xf>
    <xf xfId="0" fontId="23" numFmtId="167" fillId="2" borderId="0" applyFont="1" applyNumberFormat="1" applyFill="0" applyBorder="0" applyAlignment="1">
      <alignment horizontal="left" vertical="center" textRotation="0" wrapText="false" shrinkToFit="false"/>
    </xf>
    <xf xfId="0" fontId="14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168" fillId="2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24" numFmtId="170" fillId="2" borderId="0" applyFont="1" applyNumberFormat="1" applyFill="0" applyBorder="0" applyAlignment="1">
      <alignment horizontal="left" vertical="bottom" textRotation="0" wrapText="false" shrinkToFit="false"/>
    </xf>
    <xf xfId="0" fontId="15" numFmtId="0" fillId="2" borderId="0" applyFont="1" applyNumberFormat="0" applyFill="0" applyBorder="0" applyAlignment="1">
      <alignment horizontal="left" vertical="bottom" textRotation="0" wrapText="false" shrinkToFit="false"/>
    </xf>
    <xf xfId="0" fontId="5" numFmtId="170" fillId="2" borderId="0" applyFont="1" applyNumberFormat="1" applyFill="0" applyBorder="0" applyAlignment="1">
      <alignment horizontal="left" vertical="center" textRotation="0" wrapText="false" shrinkToFit="false"/>
    </xf>
    <xf xfId="0" fontId="5" numFmtId="169" fillId="2" borderId="0" applyFont="1" applyNumberFormat="1" applyFill="0" applyBorder="0" applyAlignment="1">
      <alignment horizontal="left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bottom" textRotation="0" wrapText="false" shrinkToFit="false"/>
    </xf>
    <xf xfId="0" fontId="5" numFmtId="169" fillId="2" borderId="0" applyFont="1" applyNumberFormat="1" applyFill="0" applyBorder="0" applyAlignment="1">
      <alignment horizontal="left" vertical="center" textRotation="0" wrapText="false" shrinkToFit="false"/>
    </xf>
    <xf xfId="0" fontId="17" numFmtId="168" fillId="2" borderId="0" applyFont="1" applyNumberFormat="1" applyFill="0" applyBorder="0" applyAlignment="1">
      <alignment horizontal="general" vertical="center" textRotation="0" wrapText="false" shrinkToFit="false"/>
    </xf>
    <xf xfId="0" fontId="19" numFmtId="168" fillId="2" borderId="0" applyFont="1" applyNumberFormat="1" applyFill="0" applyBorder="0" applyAlignment="1">
      <alignment horizontal="general" vertical="center" textRotation="0" wrapText="false" shrinkToFit="false"/>
    </xf>
    <xf xfId="0" fontId="5" numFmtId="169" fillId="2" borderId="0" applyFont="1" applyNumberFormat="1" applyFill="0" applyBorder="0" applyAlignment="0">
      <alignment horizontal="general" vertical="bottom" textRotation="0" wrapText="false" shrinkToFit="false"/>
    </xf>
    <xf xfId="0" fontId="25" numFmtId="0" fillId="2" borderId="0" applyFont="1" applyNumberFormat="0" applyFill="0" applyBorder="0" applyAlignment="0">
      <alignment horizontal="general" vertical="bottom" textRotation="0" wrapText="false" shrinkToFit="false"/>
    </xf>
    <xf xfId="0" fontId="26" numFmtId="0" fillId="2" borderId="0" applyFont="1" applyNumberFormat="0" applyFill="0" applyBorder="0" applyAlignment="0">
      <alignment horizontal="general" vertical="bottom" textRotation="0" wrapText="false" shrinkToFit="false"/>
    </xf>
    <xf xfId="0" fontId="24" numFmtId="170" fillId="2" borderId="0" applyFont="1" applyNumberFormat="1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2" numFmtId="0" fillId="2" borderId="0" applyFont="1" applyNumberFormat="0" applyFill="0" applyBorder="0" applyAlignment="1">
      <alignment horizontal="left" vertical="bottom" textRotation="0" wrapText="false" shrinkToFit="false"/>
    </xf>
    <xf xfId="0" fontId="14" numFmtId="0" fillId="2" borderId="0" applyFont="1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21" numFmtId="0" fillId="2" borderId="0" applyFont="1" applyNumberFormat="0" applyFill="0" applyBorder="0" applyAlignment="1">
      <alignment horizontal="left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9" numFmtId="0" fillId="2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0" fillId="2" borderId="0" applyFont="1" applyNumberFormat="0" applyFill="0" applyBorder="0" applyAlignment="1">
      <alignment horizontal="left" vertical="bottom" textRotation="0" wrapText="false" shrinkToFit="false"/>
    </xf>
    <xf xfId="0" fontId="19" numFmtId="166" fillId="2" borderId="0" applyFont="1" applyNumberFormat="1" applyFill="0" applyBorder="0" applyAlignment="1">
      <alignment horizontal="left" vertical="center" textRotation="0" wrapText="false" shrinkToFit="false"/>
    </xf>
    <xf xfId="0" fontId="5" numFmtId="171" fillId="2" borderId="0" applyFont="1" applyNumberFormat="1" applyFill="0" applyBorder="0" applyAlignment="1">
      <alignment horizontal="left" vertical="bottom" textRotation="0" wrapText="false" shrinkToFit="false"/>
    </xf>
    <xf xfId="0" fontId="25" numFmtId="171" fillId="2" borderId="0" applyFont="1" applyNumberFormat="1" applyFill="0" applyBorder="0" applyAlignment="1">
      <alignment horizontal="left" vertical="bottom" textRotation="0" wrapText="false" shrinkToFit="false"/>
    </xf>
    <xf xfId="0" fontId="27" numFmtId="171" fillId="2" borderId="0" applyFont="1" applyNumberFormat="1" applyFill="0" applyBorder="0" applyAlignment="1">
      <alignment horizontal="left" vertical="bottom" textRotation="0" wrapText="false" shrinkToFit="false"/>
    </xf>
    <xf xfId="0" fontId="28" numFmtId="171" fillId="2" borderId="0" applyFont="1" applyNumberFormat="1" applyFill="0" applyBorder="0" applyAlignment="1">
      <alignment horizontal="left" vertical="bottom" textRotation="0" wrapText="false" shrinkToFit="false"/>
    </xf>
    <xf xfId="0" fontId="29" numFmtId="171" fillId="2" borderId="0" applyFont="1" applyNumberFormat="1" applyFill="0" applyBorder="0" applyAlignment="1">
      <alignment horizontal="left" vertical="bottom" textRotation="0" wrapText="false" shrinkToFit="false"/>
    </xf>
    <xf xfId="0" fontId="26" numFmtId="171" fillId="2" borderId="0" applyFont="1" applyNumberFormat="1" applyFill="0" applyBorder="0" applyAlignment="1">
      <alignment horizontal="left" vertical="bottom" textRotation="0" wrapText="false" shrinkToFit="false"/>
    </xf>
    <xf xfId="0" fontId="30" numFmtId="171" fillId="2" borderId="0" applyFont="1" applyNumberFormat="1" applyFill="0" applyBorder="0" applyAlignment="1">
      <alignment horizontal="left" vertical="bottom" textRotation="0" wrapText="false" shrinkToFit="false"/>
    </xf>
    <xf xfId="0" fontId="27" numFmtId="0" fillId="2" borderId="0" applyFont="1" applyNumberFormat="0" applyFill="0" applyBorder="0" applyAlignment="1">
      <alignment horizontal="general" vertical="center" textRotation="0" wrapText="false" shrinkToFit="false"/>
    </xf>
    <xf xfId="0" fontId="27" numFmtId="0" fillId="2" borderId="0" applyFont="1" applyNumberFormat="0" applyFill="0" applyBorder="0" applyAlignment="0">
      <alignment horizontal="general" vertical="bottom" textRotation="0" wrapText="false" shrinkToFit="false"/>
    </xf>
    <xf xfId="0" fontId="28" numFmtId="0" fillId="2" borderId="0" applyFont="1" applyNumberFormat="0" applyFill="0" applyBorder="0" applyAlignment="0">
      <alignment horizontal="general" vertical="bottom" textRotation="0" wrapText="false" shrinkToFit="false"/>
    </xf>
    <xf xfId="0" fontId="29" numFmtId="0" fillId="2" borderId="0" applyFont="1" applyNumberFormat="0" applyFill="0" applyBorder="0" applyAlignment="1">
      <alignment horizontal="left" vertical="bottom" textRotation="0" wrapText="false" shrinkToFit="false"/>
    </xf>
    <xf xfId="0" fontId="27" numFmtId="170" fillId="2" borderId="0" applyFont="1" applyNumberFormat="1" applyFill="0" applyBorder="0" applyAlignment="1">
      <alignment horizontal="general" vertical="center" textRotation="0" wrapText="false" shrinkToFit="false"/>
    </xf>
    <xf xfId="0" fontId="28" numFmtId="170" fillId="2" borderId="0" applyFont="1" applyNumberFormat="1" applyFill="0" applyBorder="0" applyAlignment="1">
      <alignment horizontal="general" vertical="center" textRotation="0" wrapText="false" shrinkToFit="false"/>
    </xf>
    <xf xfId="0" fontId="29" numFmtId="0" fillId="2" borderId="0" applyFont="1" applyNumberFormat="0" applyFill="0" applyBorder="0" applyAlignment="1">
      <alignment horizontal="left" vertical="center" textRotation="0" wrapText="false" shrinkToFit="false"/>
    </xf>
    <xf xfId="0" fontId="26" numFmtId="167" fillId="2" borderId="0" applyFont="1" applyNumberFormat="1" applyFill="0" applyBorder="0" applyAlignment="0">
      <alignment horizontal="general" vertical="bottom" textRotation="0" wrapText="false" shrinkToFit="false"/>
    </xf>
    <xf xfId="0" fontId="26" numFmtId="169" fillId="2" borderId="0" applyFont="1" applyNumberFormat="1" applyFill="0" applyBorder="0" applyAlignment="0">
      <alignment horizontal="general" vertical="bottom" textRotation="0" wrapText="false" shrinkToFit="false"/>
    </xf>
    <xf xfId="0" fontId="28" numFmtId="0" fillId="2" borderId="0" applyFont="1" applyNumberFormat="0" applyFill="0" applyBorder="0" applyAlignment="1">
      <alignment horizontal="general" vertical="center" textRotation="0" wrapText="false" shrinkToFit="false"/>
    </xf>
    <xf xfId="0" fontId="30" numFmtId="0" fillId="2" borderId="0" applyFont="1" applyNumberFormat="0" applyFill="0" applyBorder="0" applyAlignment="0">
      <alignment horizontal="general" vertical="bottom" textRotation="0" wrapText="false" shrinkToFit="false"/>
    </xf>
    <xf xfId="0" fontId="27" numFmtId="169" fillId="2" borderId="0" applyFont="1" applyNumberFormat="1" applyFill="0" applyBorder="0" applyAlignment="1">
      <alignment horizontal="general" vertical="center" textRotation="0" wrapText="false" shrinkToFit="false"/>
    </xf>
    <xf xfId="0" fontId="4" numFmtId="171" fillId="2" borderId="0" applyFont="1" applyNumberFormat="1" applyFill="0" applyBorder="0" applyAlignment="0">
      <alignment horizontal="general" vertical="bottom" textRotation="0" wrapText="false" shrinkToFit="false"/>
    </xf>
    <xf xfId="0" fontId="0" numFmtId="171" fillId="2" borderId="0" applyFont="0" applyNumberFormat="1" applyFill="0" applyBorder="0" applyAlignment="1">
      <alignment horizontal="general" vertical="center" textRotation="0" wrapText="false" shrinkToFit="false"/>
    </xf>
    <xf xfId="0" fontId="12" numFmtId="171" fillId="2" borderId="0" applyFont="1" applyNumberFormat="1" applyFill="0" applyBorder="0" applyAlignment="0">
      <alignment horizontal="general" vertical="bottom" textRotation="0" wrapText="false" shrinkToFit="false"/>
    </xf>
    <xf xfId="0" fontId="2" numFmtId="171" fillId="2" borderId="0" applyFont="1" applyNumberFormat="1" applyFill="0" applyBorder="0" applyAlignment="1">
      <alignment horizontal="general" vertical="center" textRotation="0" wrapText="false" shrinkToFit="false"/>
    </xf>
    <xf xfId="0" fontId="2" numFmtId="171" fillId="2" borderId="0" applyFont="1" applyNumberFormat="1" applyFill="0" applyBorder="0" applyAlignment="0">
      <alignment horizontal="general" vertical="bottom" textRotation="0" wrapText="false" shrinkToFit="false"/>
    </xf>
    <xf xfId="0" fontId="14" numFmtId="171" fillId="2" borderId="0" applyFont="1" applyNumberFormat="1" applyFill="0" applyBorder="0" applyAlignment="0">
      <alignment horizontal="general" vertical="bottom" textRotation="0" wrapText="false" shrinkToFit="false"/>
    </xf>
    <xf xfId="0" fontId="1" numFmtId="171" fillId="2" borderId="0" applyFont="1" applyNumberFormat="1" applyFill="0" applyBorder="0" applyAlignment="1">
      <alignment horizontal="left" vertical="bottom" textRotation="0" wrapText="false" shrinkToFit="false"/>
    </xf>
    <xf xfId="0" fontId="21" numFmtId="171" fillId="2" borderId="0" applyFont="1" applyNumberFormat="1" applyFill="0" applyBorder="0" applyAlignment="1">
      <alignment horizontal="general" vertical="center" textRotation="0" wrapText="false" shrinkToFit="false"/>
    </xf>
    <xf xfId="0" fontId="14" numFmtId="171" fillId="2" borderId="0" applyFont="1" applyNumberFormat="1" applyFill="0" applyBorder="0" applyAlignment="1">
      <alignment horizontal="general" vertical="center" textRotation="0" wrapText="false" shrinkToFit="false"/>
    </xf>
    <xf xfId="0" fontId="5" numFmtId="171" fillId="2" borderId="0" applyFont="1" applyNumberFormat="1" applyFill="0" applyBorder="0" applyAlignment="1">
      <alignment horizontal="left" vertical="center" textRotation="0" wrapText="false" shrinkToFit="false"/>
    </xf>
    <xf xfId="0" fontId="1" numFmtId="171" fillId="2" borderId="0" applyFont="1" applyNumberFormat="1" applyFill="0" applyBorder="0" applyAlignment="1">
      <alignment horizontal="left" vertical="center" textRotation="0" wrapText="false" shrinkToFit="false"/>
    </xf>
    <xf xfId="0" fontId="9" numFmtId="171" fillId="2" borderId="0" applyFont="1" applyNumberFormat="1" applyFill="0" applyBorder="0" applyAlignment="0">
      <alignment horizontal="general" vertical="bottom" textRotation="0" wrapText="false" shrinkToFit="false"/>
    </xf>
    <xf xfId="0" fontId="3" numFmtId="171" fillId="2" borderId="0" applyFont="1" applyNumberFormat="1" applyFill="0" applyBorder="0" applyAlignment="0">
      <alignment horizontal="general" vertical="bottom" textRotation="0" wrapText="false" shrinkToFit="false"/>
    </xf>
    <xf xfId="0" fontId="5" numFmtId="171" fillId="2" borderId="0" applyFont="1" applyNumberFormat="1" applyFill="0" applyBorder="0" applyAlignment="0">
      <alignment horizontal="general" vertical="bottom" textRotation="0" wrapText="false" shrinkToFit="false"/>
    </xf>
    <xf xfId="0" fontId="0" numFmtId="171" fillId="2" borderId="0" applyFont="0" applyNumberFormat="1" applyFill="0" applyBorder="0" applyAlignment="0">
      <alignment horizontal="general" vertical="bottom" textRotation="0" wrapText="false" shrinkToFit="false"/>
    </xf>
    <xf xfId="0" fontId="7" numFmtId="171" fillId="2" borderId="0" applyFont="1" applyNumberFormat="1" applyFill="0" applyBorder="0" applyAlignment="1">
      <alignment horizontal="left" vertical="bottom" textRotation="0" wrapText="false" shrinkToFit="false"/>
    </xf>
    <xf xfId="0" fontId="31" numFmtId="171" fillId="2" borderId="0" applyFont="1" applyNumberFormat="1" applyFill="0" applyBorder="0" applyAlignment="1">
      <alignment horizontal="left" vertical="bottom" textRotation="0" wrapText="false" shrinkToFit="false"/>
    </xf>
    <xf xfId="0" fontId="32" numFmtId="171" fillId="2" borderId="0" applyFont="1" applyNumberFormat="1" applyFill="0" applyBorder="0" applyAlignment="1">
      <alignment horizontal="left" vertical="bottom" textRotation="0" wrapText="false" shrinkToFit="false"/>
    </xf>
    <xf xfId="0" fontId="33" numFmtId="171" fillId="2" borderId="0" applyFont="1" applyNumberFormat="1" applyFill="0" applyBorder="0" applyAlignment="1">
      <alignment horizontal="left" vertical="bottom" textRotation="0" wrapText="false" shrinkToFit="false"/>
    </xf>
    <xf xfId="0" fontId="31" numFmtId="0" fillId="2" borderId="0" applyFont="1" applyNumberFormat="0" applyFill="0" applyBorder="0" applyAlignment="0">
      <alignment horizontal="general" vertical="bottom" textRotation="0" wrapText="false" shrinkToFit="false"/>
    </xf>
    <xf xfId="0" fontId="31" numFmtId="170" fillId="2" borderId="0" applyFont="1" applyNumberFormat="1" applyFill="0" applyBorder="0" applyAlignment="1">
      <alignment horizontal="general" vertical="center" textRotation="0" wrapText="false" shrinkToFit="false"/>
    </xf>
    <xf xfId="0" fontId="32" numFmtId="167" fillId="2" borderId="0" applyFont="1" applyNumberFormat="1" applyFill="0" applyBorder="0" applyAlignment="0">
      <alignment horizontal="general" vertical="bottom" textRotation="0" wrapText="false" shrinkToFit="false"/>
    </xf>
    <xf xfId="0" fontId="32" numFmtId="169" fillId="2" borderId="0" applyFont="1" applyNumberFormat="1" applyFill="0" applyBorder="0" applyAlignment="0">
      <alignment horizontal="general" vertical="bottom" textRotation="0" wrapText="false" shrinkToFit="false"/>
    </xf>
    <xf xfId="0" fontId="32" numFmtId="0" fillId="2" borderId="0" applyFont="1" applyNumberFormat="0" applyFill="0" applyBorder="0" applyAlignment="0">
      <alignment horizontal="general" vertical="bottom" textRotation="0" wrapText="false" shrinkToFit="false"/>
    </xf>
    <xf xfId="0" fontId="31" numFmtId="169" fillId="2" borderId="0" applyFont="1" applyNumberFormat="1" applyFill="0" applyBorder="0" applyAlignment="1">
      <alignment horizontal="general" vertical="center" textRotation="0" wrapText="false" shrinkToFit="false"/>
    </xf>
    <xf xfId="0" fontId="33" numFmtId="0" fillId="2" borderId="0" applyFont="1" applyNumberFormat="0" applyFill="0" applyBorder="0" applyAlignment="0">
      <alignment horizontal="general" vertical="bottom" textRotation="0" wrapText="false" shrinkToFit="false"/>
    </xf>
    <xf xfId="0" fontId="31" numFmtId="0" fillId="2" borderId="0" applyFont="1" applyNumberFormat="0" applyFill="0" applyBorder="0" applyAlignment="1">
      <alignment horizontal="general" vertical="center" textRotation="0" wrapText="false" shrinkToFit="false"/>
    </xf>
    <xf xfId="0" fontId="27" numFmtId="171" fillId="2" borderId="0" applyFont="1" applyNumberFormat="1" applyFill="0" applyBorder="0" applyAlignment="1">
      <alignment horizontal="left" vertical="center" textRotation="0" wrapText="false" shrinkToFit="false"/>
    </xf>
    <xf xfId="0" fontId="4" numFmtId="169" fillId="2" borderId="0" applyFont="1" applyNumberFormat="1" applyFill="0" applyBorder="0" applyAlignment="1">
      <alignment horizontal="left" vertical="bottom" textRotation="0" wrapText="false" shrinkToFit="false"/>
    </xf>
    <xf xfId="0" fontId="33" numFmtId="0" fillId="2" borderId="0" applyFont="1" applyNumberFormat="0" applyFill="0" applyBorder="0" applyAlignment="1">
      <alignment horizontal="left" vertical="bottom" textRotation="0" wrapText="false" shrinkToFit="false"/>
    </xf>
    <xf xfId="0" fontId="32" numFmtId="171" fillId="2" borderId="0" applyFont="1" applyNumberFormat="1" applyFill="0" applyBorder="0" applyAlignment="0">
      <alignment horizontal="general" vertical="bottom" textRotation="0" wrapText="false" shrinkToFit="false"/>
    </xf>
    <xf xfId="0" fontId="31" numFmtId="171" fillId="2" borderId="0" applyFont="1" applyNumberFormat="1" applyFill="0" applyBorder="0" applyAlignment="1">
      <alignment horizontal="general" vertical="center" textRotation="0" wrapText="false" shrinkToFit="false"/>
    </xf>
    <xf xfId="0" fontId="33" numFmtId="171" fillId="2" borderId="0" applyFont="1" applyNumberFormat="1" applyFill="0" applyBorder="0" applyAlignment="0">
      <alignment horizontal="general" vertical="bottom" textRotation="0" wrapText="false" shrinkToFit="false"/>
    </xf>
    <xf xfId="0" fontId="27" numFmtId="171" fillId="2" borderId="0" applyFont="1" applyNumberFormat="1" applyFill="0" applyBorder="0" applyAlignment="1">
      <alignment horizontal="general" vertical="center" textRotation="0" wrapText="false" shrinkToFit="false"/>
    </xf>
    <xf xfId="0" fontId="27" numFmtId="171" fillId="2" borderId="0" applyFont="1" applyNumberFormat="1" applyFill="0" applyBorder="0" applyAlignment="1">
      <alignment horizontal="center" vertical="center" textRotation="0" wrapText="false" shrinkToFit="false"/>
    </xf>
    <xf xfId="0" fontId="34" numFmtId="164" fillId="2" borderId="0" applyFont="1" applyNumberFormat="1" applyFill="0" applyBorder="0" applyAlignment="1">
      <alignment horizontal="left" vertical="bottom" textRotation="0" wrapText="false" shrinkToFit="false"/>
    </xf>
    <xf xfId="0" fontId="5" numFmtId="171" fillId="2" borderId="0" applyFont="1" applyNumberFormat="1" applyFill="0" applyBorder="0" applyAlignment="1">
      <alignment horizontal="left" vertical="bottom" textRotation="0" wrapText="false" shrinkToFit="false"/>
    </xf>
    <xf xfId="0" fontId="0" numFmtId="171" fillId="2" borderId="0" applyFont="0" applyNumberFormat="1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center" textRotation="0" wrapText="false" shrinkToFit="false" indent="3"/>
    </xf>
    <xf xfId="0" fontId="35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28" numFmtId="0" fillId="2" borderId="0" applyFont="1" applyNumberFormat="0" applyFill="0" applyBorder="0" applyAlignment="1">
      <alignment horizontal="general" vertical="center" textRotation="0" wrapText="false" shrinkToFit="false"/>
    </xf>
    <xf xfId="0" fontId="28" numFmtId="171" fillId="2" borderId="0" applyFont="1" applyNumberFormat="1" applyFill="0" applyBorder="0" applyAlignment="1">
      <alignment horizontal="left" vertical="bottom" textRotation="0" wrapText="false" shrinkToFit="false"/>
    </xf>
    <xf xfId="0" fontId="14" numFmtId="171" fillId="2" borderId="0" applyFont="1" applyNumberFormat="1" applyFill="0" applyBorder="0" applyAlignment="1">
      <alignment horizontal="general" vertical="center" textRotation="0" wrapText="false" shrinkToFit="false"/>
    </xf>
    <xf xfId="0" fontId="14" numFmtId="0" fillId="2" borderId="0" applyFont="1" applyNumberFormat="0" applyFill="0" applyBorder="0" applyAlignment="1">
      <alignment horizontal="general" vertical="center" textRotation="0" wrapText="false" shrinkToFit="false"/>
    </xf>
    <xf xfId="0" fontId="14" numFmtId="0" fillId="2" borderId="0" applyFont="1" applyNumberFormat="0" applyFill="0" applyBorder="0" applyAlignment="1">
      <alignment horizontal="left" vertical="bottom" textRotation="0" wrapText="false" shrinkToFit="false"/>
    </xf>
    <xf xfId="0" fontId="7" numFmtId="0" fillId="2" borderId="0" applyFont="1" applyNumberFormat="0" applyFill="0" applyBorder="0" applyAlignment="1">
      <alignment horizontal="left" vertical="center" textRotation="0" wrapText="false" shrinkToFit="false"/>
    </xf>
    <xf xfId="0" fontId="7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17" numFmtId="0" fillId="2" borderId="1" applyFont="1" applyNumberFormat="0" applyFill="0" applyBorder="1" applyAlignment="1">
      <alignment horizontal="left" vertical="center" textRotation="0" wrapText="false" shrinkToFit="false" indent="1"/>
    </xf>
    <xf xfId="0" fontId="5" numFmtId="0" fillId="2" borderId="1" applyFont="1" applyNumberFormat="0" applyFill="0" applyBorder="1" applyAlignment="1">
      <alignment horizontal="general" vertical="center" textRotation="0" wrapText="false" shrinkToFit="false"/>
    </xf>
    <xf xfId="0" fontId="19" numFmtId="168" fillId="2" borderId="1" applyFont="1" applyNumberFormat="1" applyFill="0" applyBorder="1" applyAlignment="0">
      <alignment horizontal="general" vertical="bottom" textRotation="0" wrapText="false" shrinkToFit="false"/>
    </xf>
    <xf xfId="0" fontId="5" numFmtId="170" fillId="2" borderId="1" applyFont="1" applyNumberFormat="1" applyFill="0" applyBorder="1" applyAlignment="1">
      <alignment horizontal="left" vertical="center" textRotation="0" wrapText="false" shrinkToFit="false"/>
    </xf>
    <xf xfId="0" fontId="17" numFmtId="0" fillId="2" borderId="1" applyFont="1" applyNumberFormat="0" applyFill="0" applyBorder="1" applyAlignment="1">
      <alignment horizontal="left" vertical="center" textRotation="0" wrapText="false" shrinkToFit="false"/>
    </xf>
    <xf xfId="0" fontId="17" numFmtId="0" fillId="2" borderId="1" applyFont="1" applyNumberFormat="0" applyFill="0" applyBorder="1" applyAlignment="1">
      <alignment horizontal="general" vertical="center" textRotation="0" wrapText="false" shrinkToFit="false"/>
    </xf>
    <xf xfId="0" fontId="19" numFmtId="167" fillId="2" borderId="1" applyFont="1" applyNumberFormat="1" applyFill="0" applyBorder="1" applyAlignment="1">
      <alignment horizontal="left" vertical="center" textRotation="0" wrapText="false" shrinkToFit="false"/>
    </xf>
    <xf xfId="0" fontId="5" numFmtId="166" fillId="2" borderId="1" applyFont="1" applyNumberFormat="1" applyFill="0" applyBorder="1" applyAlignment="1">
      <alignment horizontal="left" vertical="center" textRotation="0" wrapText="false" shrinkToFit="false"/>
    </xf>
    <xf xfId="0" fontId="17" numFmtId="0" fillId="2" borderId="1" applyFont="1" applyNumberFormat="0" applyFill="0" applyBorder="1" applyAlignment="1">
      <alignment horizontal="left" vertical="center" textRotation="0" wrapText="false" shrinkToFit="false" indent="2"/>
    </xf>
    <xf xfId="0" fontId="5" numFmtId="168" fillId="2" borderId="0" applyFont="1" applyNumberFormat="1" applyFill="0" applyBorder="0" applyAlignment="0">
      <alignment horizontal="general" vertical="bottom" textRotation="0" wrapText="false" shrinkToFit="false"/>
    </xf>
    <xf xfId="0" fontId="8" numFmtId="168" fillId="2" borderId="0" applyFont="1" applyNumberFormat="1" applyFill="0" applyBorder="0" applyAlignment="0">
      <alignment horizontal="general" vertical="bottom" textRotation="0" wrapText="false" shrinkToFit="false"/>
    </xf>
    <xf xfId="0" fontId="36" numFmtId="0" fillId="2" borderId="0" applyFont="1" applyNumberFormat="0" applyFill="0" applyBorder="0" applyAlignment="1">
      <alignment horizontal="general" vertical="center" textRotation="0" wrapText="false" shrinkToFit="false"/>
    </xf>
    <xf xfId="0" fontId="37" numFmtId="0" fillId="2" borderId="0" applyFont="1" applyNumberFormat="0" applyFill="0" applyBorder="0" applyAlignment="1">
      <alignment horizontal="left" vertical="center" textRotation="0" wrapText="false" shrinkToFit="false"/>
    </xf>
    <xf xfId="0" fontId="36" numFmtId="0" fillId="2" borderId="0" applyFont="1" applyNumberFormat="0" applyFill="0" applyBorder="0" applyAlignment="1">
      <alignment horizontal="right" vertical="center" textRotation="0" wrapText="false" shrinkToFit="false"/>
    </xf>
    <xf xfId="0" fontId="38" numFmtId="0" fillId="2" borderId="0" applyFont="1" applyNumberFormat="0" applyFill="0" applyBorder="0" applyAlignment="1">
      <alignment horizontal="left" vertical="bottom" textRotation="0" wrapText="false" shrinkToFit="false"/>
    </xf>
    <xf xfId="0" fontId="39" numFmtId="0" fillId="2" borderId="0" applyFont="1" applyNumberFormat="0" applyFill="0" applyBorder="0" applyAlignment="1">
      <alignment horizontal="left" vertical="center" textRotation="0" wrapText="false" shrinkToFit="false"/>
    </xf>
    <xf xfId="0" fontId="40" numFmtId="0" fillId="2" borderId="0" applyFont="1" applyNumberFormat="0" applyFill="0" applyBorder="0" applyAlignment="1">
      <alignment horizontal="center" vertical="center" textRotation="0" wrapText="false" shrinkToFit="false"/>
    </xf>
    <xf xfId="0" fontId="40" numFmtId="0" fillId="2" borderId="0" applyFont="1" applyNumberFormat="0" applyFill="0" applyBorder="0" applyAlignment="1">
      <alignment horizontal="left" vertical="bottom" textRotation="0" wrapText="false" shrinkToFit="false"/>
    </xf>
    <xf xfId="0" fontId="39" numFmtId="0" fillId="2" borderId="0" applyFont="1" applyNumberFormat="0" applyFill="0" applyBorder="0" applyAlignment="1">
      <alignment horizontal="left" vertical="center" textRotation="0" wrapText="false" shrinkToFit="false" indent="5"/>
    </xf>
    <xf xfId="0" fontId="7" numFmtId="0" fillId="2" borderId="2" applyFont="1" applyNumberFormat="0" applyFill="0" applyBorder="1" applyAlignment="1">
      <alignment horizontal="center" vertical="center" textRotation="0" wrapText="true" shrinkToFit="false"/>
    </xf>
    <xf xfId="0" fontId="34" numFmtId="0" fillId="2" borderId="3" applyFont="1" applyNumberFormat="0" applyFill="0" applyBorder="1" applyAlignment="1">
      <alignment horizontal="center" vertical="center" textRotation="0" wrapText="true" shrinkToFit="false"/>
    </xf>
    <xf xfId="0" fontId="34" numFmtId="0" fillId="2" borderId="4" applyFont="1" applyNumberFormat="0" applyFill="0" applyBorder="1" applyAlignment="1">
      <alignment horizontal="center" vertical="center" textRotation="0" wrapText="true" shrinkToFit="false"/>
    </xf>
    <xf xfId="0" fontId="34" numFmtId="0" fillId="2" borderId="0" applyFont="1" applyNumberFormat="0" applyFill="0" applyBorder="0" applyAlignment="1">
      <alignment horizontal="center" vertical="center" textRotation="0" wrapText="false" shrinkToFit="false"/>
    </xf>
    <xf xfId="0" fontId="17" numFmtId="165" fillId="2" borderId="0" applyFont="1" applyNumberFormat="1" applyFill="0" applyBorder="0" applyAlignment="1">
      <alignment horizontal="left" vertical="center" textRotation="0" wrapText="false" shrinkToFit="false"/>
    </xf>
    <xf xfId="0" fontId="25" numFmtId="168" fillId="2" borderId="0" applyFont="1" applyNumberFormat="1" applyFill="0" applyBorder="0" applyAlignment="1">
      <alignment horizontal="left" vertical="bottom" textRotation="0" wrapText="false" shrinkToFit="false"/>
    </xf>
    <xf xfId="0" fontId="5" numFmtId="168" fillId="2" borderId="0" applyFont="1" applyNumberFormat="1" applyFill="0" applyBorder="0" applyAlignment="1">
      <alignment horizontal="left" vertical="center" textRotation="0" wrapText="false" shrinkToFit="false"/>
    </xf>
    <xf xfId="0" fontId="5" numFmtId="168" fillId="2" borderId="0" applyFont="1" applyNumberFormat="1" applyFill="0" applyBorder="0" applyAlignment="1">
      <alignment horizontal="left" vertical="center" textRotation="0" wrapText="false" shrinkToFit="false"/>
    </xf>
    <xf xfId="0" fontId="5" numFmtId="168" fillId="2" borderId="0" applyFont="1" applyNumberFormat="1" applyFill="0" applyBorder="0" applyAlignment="1">
      <alignment horizontal="left" vertical="bottom" textRotation="0" wrapText="false" shrinkToFit="false"/>
    </xf>
    <xf xfId="0" fontId="5" numFmtId="168" fillId="2" borderId="0" applyFont="1" applyNumberFormat="1" applyFill="0" applyBorder="0" applyAlignment="1">
      <alignment horizontal="left" vertical="bottom" textRotation="0" wrapText="false" shrinkToFit="false"/>
    </xf>
    <xf xfId="0" fontId="8" numFmtId="168" fillId="2" borderId="0" applyFont="1" applyNumberFormat="1" applyFill="0" applyBorder="0" applyAlignment="1">
      <alignment horizontal="left" vertical="center" textRotation="0" wrapText="false" shrinkToFit="false"/>
    </xf>
    <xf xfId="0" fontId="8" numFmtId="170" fillId="2" borderId="0" applyFont="1" applyNumberFormat="1" applyFill="0" applyBorder="0" applyAlignment="1">
      <alignment horizontal="left" vertical="center" textRotation="0" wrapText="false" shrinkToFit="false"/>
    </xf>
    <xf xfId="0" fontId="7" numFmtId="0" fillId="2" borderId="0" applyFont="1" applyNumberFormat="0" applyFill="0" applyBorder="0" applyAlignment="1">
      <alignment horizontal="center" vertical="center" textRotation="0" wrapText="true" shrinkToFit="false"/>
    </xf>
    <xf xfId="0" fontId="5" numFmtId="168" fillId="2" borderId="0" applyFont="1" applyNumberFormat="1" applyFill="0" applyBorder="0" applyAlignment="1">
      <alignment horizontal="left" vertical="center" textRotation="0" wrapText="false" shrinkToFit="false"/>
    </xf>
    <xf xfId="0" fontId="8" numFmtId="166" fillId="2" borderId="0" applyFont="1" applyNumberFormat="1" applyFill="0" applyBorder="0" applyAlignment="1">
      <alignment horizontal="left" vertical="bottom" textRotation="0" wrapText="false" shrinkToFit="false"/>
    </xf>
    <xf xfId="0" fontId="5" numFmtId="172" fillId="2" borderId="0" applyFont="1" applyNumberFormat="1" applyFill="0" applyBorder="0" applyAlignment="1">
      <alignment horizontal="left" vertical="bottom" textRotation="0" wrapText="false" shrinkToFit="false"/>
    </xf>
    <xf xfId="0" fontId="5" numFmtId="173" fillId="2" borderId="0" applyFont="1" applyNumberFormat="1" applyFill="0" applyBorder="0" applyAlignment="0">
      <alignment horizontal="general" vertical="bottom" textRotation="0" wrapText="false" shrinkToFit="false"/>
    </xf>
    <xf xfId="0" fontId="5" numFmtId="174" fillId="2" borderId="0" applyFont="1" applyNumberFormat="1" applyFill="0" applyBorder="0" applyAlignment="0">
      <alignment horizontal="general" vertical="bottom" textRotation="0" wrapText="false" shrinkToFit="false"/>
    </xf>
    <xf xfId="0" fontId="8" numFmtId="174" fillId="2" borderId="0" applyFont="1" applyNumberFormat="1" applyFill="0" applyBorder="0" applyAlignment="0">
      <alignment horizontal="general" vertical="bottom" textRotation="0" wrapText="false" shrinkToFit="false"/>
    </xf>
    <xf xfId="0" fontId="5" numFmtId="175" fillId="2" borderId="0" applyFont="1" applyNumberFormat="1" applyFill="0" applyBorder="0" applyAlignment="0">
      <alignment horizontal="general" vertical="bottom" textRotation="0" wrapText="false" shrinkToFit="false"/>
    </xf>
    <xf xfId="0" fontId="5" numFmtId="169" fillId="2" borderId="0" applyFont="1" applyNumberFormat="1" applyFill="0" applyBorder="0" applyAlignment="1">
      <alignment horizontal="general" vertical="center" textRotation="0" wrapText="false" shrinkToFit="false"/>
    </xf>
    <xf xfId="0" fontId="41" numFmtId="169" fillId="2" borderId="0" applyFont="1" applyNumberFormat="1" applyFill="0" applyBorder="0" applyAlignment="1">
      <alignment horizontal="general" vertical="center" textRotation="0" wrapText="false" shrinkToFit="false"/>
    </xf>
    <xf xfId="0" fontId="42" numFmtId="164" fillId="2" borderId="1" applyFont="1" applyNumberFormat="1" applyFill="0" applyBorder="1" applyAlignment="1">
      <alignment horizontal="left" vertical="bottom" textRotation="0" wrapText="false" shrinkToFit="false"/>
    </xf>
    <xf xfId="0" fontId="12" numFmtId="0" fillId="2" borderId="5" applyFont="1" applyNumberFormat="0" applyFill="0" applyBorder="1" applyAlignment="0">
      <alignment horizontal="general" vertical="bottom" textRotation="0" wrapText="false" shrinkToFit="false"/>
    </xf>
    <xf xfId="0" fontId="12" numFmtId="168" fillId="2" borderId="5" applyFont="1" applyNumberFormat="1" applyFill="0" applyBorder="1" applyAlignment="1">
      <alignment horizontal="left" vertical="bottom" textRotation="0" wrapText="false" shrinkToFit="false"/>
    </xf>
    <xf xfId="0" fontId="12" numFmtId="0" fillId="2" borderId="2" applyFont="1" applyNumberFormat="0" applyFill="0" applyBorder="1" applyAlignment="0">
      <alignment horizontal="general" vertical="bottom" textRotation="0" wrapText="false" shrinkToFit="false"/>
    </xf>
    <xf xfId="0" fontId="12" numFmtId="168" fillId="2" borderId="2" applyFont="1" applyNumberFormat="1" applyFill="0" applyBorder="1" applyAlignment="1">
      <alignment horizontal="left" vertical="bottom" textRotation="0" wrapText="false" shrinkToFit="false"/>
    </xf>
    <xf xfId="0" fontId="5" numFmtId="0" fillId="2" borderId="2" applyFont="1" applyNumberFormat="0" applyFill="0" applyBorder="1" applyAlignment="1">
      <alignment horizontal="center" vertical="center" textRotation="0" wrapText="false" shrinkToFit="false"/>
    </xf>
    <xf xfId="0" fontId="5" numFmtId="170" fillId="2" borderId="2" applyFont="1" applyNumberFormat="1" applyFill="0" applyBorder="1" applyAlignment="1">
      <alignment horizontal="left" vertical="center" textRotation="0" wrapText="false" shrinkToFit="false"/>
    </xf>
    <xf xfId="0" fontId="5" numFmtId="166" fillId="2" borderId="2" applyFont="1" applyNumberFormat="1" applyFill="0" applyBorder="1" applyAlignment="1">
      <alignment horizontal="left" vertical="center" textRotation="0" wrapText="false" shrinkToFit="false"/>
    </xf>
    <xf xfId="0" fontId="5" numFmtId="168" fillId="2" borderId="2" applyFont="1" applyNumberFormat="1" applyFill="0" applyBorder="1" applyAlignment="1">
      <alignment horizontal="left" vertical="center" textRotation="0" wrapText="false" shrinkToFit="false"/>
    </xf>
    <xf xfId="0" fontId="5" numFmtId="168" fillId="2" borderId="2" applyFont="1" applyNumberFormat="1" applyFill="0" applyBorder="1" applyAlignment="1">
      <alignment horizontal="left" vertical="center" textRotation="0" wrapText="false" shrinkToFit="false"/>
    </xf>
    <xf xfId="0" fontId="5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166" fillId="2" borderId="2" applyFont="1" applyNumberFormat="1" applyFill="0" applyBorder="1" applyAlignment="1">
      <alignment horizontal="left" vertical="bottom" textRotation="0" wrapText="false" shrinkToFit="false"/>
    </xf>
    <xf xfId="0" fontId="5" numFmtId="168" fillId="2" borderId="2" applyFont="1" applyNumberFormat="1" applyFill="0" applyBorder="1" applyAlignment="1">
      <alignment horizontal="left" vertical="bottom" textRotation="0" wrapText="false" shrinkToFit="false"/>
    </xf>
    <xf xfId="0" fontId="5" numFmtId="168" fillId="2" borderId="2" applyFont="1" applyNumberFormat="1" applyFill="0" applyBorder="1" applyAlignment="1">
      <alignment horizontal="left" vertical="bottom" textRotation="0" wrapText="false" shrinkToFit="false"/>
    </xf>
    <xf xfId="0" fontId="8" numFmtId="166" fillId="2" borderId="2" applyFont="1" applyNumberFormat="1" applyFill="0" applyBorder="1" applyAlignment="1">
      <alignment horizontal="left" vertical="center" textRotation="0" wrapText="false" shrinkToFit="false"/>
    </xf>
    <xf xfId="0" fontId="8" numFmtId="168" fillId="2" borderId="2" applyFont="1" applyNumberFormat="1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>
      <alignment horizontal="center" vertical="bottom" textRotation="0" wrapText="false" shrinkToFit="false"/>
    </xf>
    <xf xfId="0" fontId="24" numFmtId="170" fillId="2" borderId="2" applyFont="1" applyNumberFormat="1" applyFill="0" applyBorder="1" applyAlignment="1">
      <alignment horizontal="left" vertical="bottom" textRotation="0" wrapText="false" shrinkToFit="false"/>
    </xf>
    <xf xfId="0" fontId="5" numFmtId="0" fillId="2" borderId="2" applyFont="1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0" applyBorder="1" applyAlignment="1">
      <alignment horizontal="left" vertical="bottom" textRotation="0" wrapText="false" shrinkToFit="false"/>
    </xf>
    <xf xfId="0" fontId="5" numFmtId="49" fillId="2" borderId="2" applyFont="1" applyNumberFormat="1" applyFill="0" applyBorder="1" applyAlignment="1">
      <alignment horizontal="center" vertical="center" textRotation="0" wrapText="false" shrinkToFit="false"/>
    </xf>
    <xf xfId="0" fontId="5" numFmtId="165" fillId="2" borderId="2" applyFont="1" applyNumberFormat="1" applyFill="0" applyBorder="1" applyAlignment="1">
      <alignment horizontal="left" vertical="center" textRotation="0" wrapText="false" shrinkToFit="false"/>
    </xf>
    <xf xfId="0" fontId="8" numFmtId="170" fillId="2" borderId="2" applyFont="1" applyNumberFormat="1" applyFill="0" applyBorder="1" applyAlignment="1">
      <alignment horizontal="left" vertical="center" textRotation="0" wrapText="false" shrinkToFit="false"/>
    </xf>
    <xf xfId="0" fontId="24" numFmtId="170" fillId="2" borderId="2" applyFont="1" applyNumberFormat="1" applyFill="0" applyBorder="1" applyAlignment="1">
      <alignment horizontal="left" vertical="bottom" textRotation="0" wrapText="false" shrinkToFit="false"/>
    </xf>
    <xf xfId="0" fontId="5" numFmtId="49" fillId="2" borderId="3" applyFont="1" applyNumberFormat="1" applyFill="0" applyBorder="1" applyAlignment="1">
      <alignment horizontal="center" vertical="center" textRotation="0" wrapText="false" shrinkToFit="false"/>
    </xf>
    <xf xfId="0" fontId="5" numFmtId="170" fillId="2" borderId="3" applyFont="1" applyNumberFormat="1" applyFill="0" applyBorder="1" applyAlignment="1">
      <alignment horizontal="left" vertical="center" textRotation="0" wrapText="false" shrinkToFit="false"/>
    </xf>
    <xf xfId="0" fontId="5" numFmtId="173" fillId="2" borderId="2" applyFont="1" applyNumberFormat="1" applyFill="0" applyBorder="1" applyAlignment="1">
      <alignment horizontal="left" vertical="center" textRotation="0" wrapText="false" shrinkToFit="false"/>
    </xf>
    <xf xfId="0" fontId="5" numFmtId="169" fillId="2" borderId="2" applyFont="1" applyNumberFormat="1" applyFill="0" applyBorder="1" applyAlignment="1">
      <alignment horizontal="left" vertical="center" textRotation="0" wrapText="false" shrinkToFit="false"/>
    </xf>
    <xf xfId="0" fontId="5" numFmtId="165" fillId="2" borderId="2" applyFont="1" applyNumberFormat="1" applyFill="0" applyBorder="1" applyAlignment="1">
      <alignment horizontal="left" vertical="bottom" textRotation="0" wrapText="false" shrinkToFit="false"/>
    </xf>
    <xf xfId="0" fontId="6" numFmtId="49" fillId="2" borderId="2" applyFont="1" applyNumberFormat="1" applyFill="0" applyBorder="1" applyAlignment="1">
      <alignment horizontal="center" vertical="center" textRotation="0" wrapText="false" shrinkToFit="false"/>
    </xf>
    <xf xfId="0" fontId="5" numFmtId="166" fillId="2" borderId="3" applyFont="1" applyNumberFormat="1" applyFill="0" applyBorder="1" applyAlignment="1">
      <alignment horizontal="left" vertical="center" textRotation="0" wrapText="false" shrinkToFit="false"/>
    </xf>
    <xf xfId="0" fontId="5" numFmtId="166" fillId="2" borderId="3" applyFont="1" applyNumberFormat="1" applyFill="0" applyBorder="1" applyAlignment="1">
      <alignment horizontal="left" vertical="center" textRotation="0" wrapText="false" shrinkToFit="false"/>
    </xf>
    <xf xfId="0" fontId="5" numFmtId="166" fillId="2" borderId="2" applyFont="1" applyNumberFormat="1" applyFill="0" applyBorder="1" applyAlignment="1">
      <alignment horizontal="left" vertical="center" textRotation="0" wrapText="false" shrinkToFit="false"/>
    </xf>
    <xf xfId="0" fontId="5" numFmtId="166" fillId="2" borderId="2" applyFont="1" applyNumberFormat="1" applyFill="0" applyBorder="1" applyAlignment="1">
      <alignment horizontal="left" vertical="bottom" textRotation="0" wrapText="false" shrinkToFit="false"/>
    </xf>
    <xf xfId="0" fontId="5" numFmtId="168" fillId="2" borderId="2" applyFont="1" applyNumberFormat="1" applyFill="0" applyBorder="1" applyAlignment="1">
      <alignment horizontal="left" vertical="center" textRotation="0" wrapText="false" shrinkToFit="false"/>
    </xf>
    <xf xfId="0" fontId="5" numFmtId="49" fillId="2" borderId="2" applyFont="1" applyNumberFormat="1" applyFill="0" applyBorder="1" applyAlignment="1">
      <alignment horizontal="center" vertical="bottom" textRotation="0" wrapText="false" shrinkToFit="false"/>
    </xf>
    <xf xfId="0" fontId="5" numFmtId="173" fillId="2" borderId="2" applyFont="1" applyNumberFormat="1" applyFill="0" applyBorder="1" applyAlignment="1">
      <alignment horizontal="left" vertical="bottom" textRotation="0" wrapText="false" shrinkToFit="false"/>
    </xf>
    <xf xfId="0" fontId="5" numFmtId="169" fillId="2" borderId="2" applyFont="1" applyNumberFormat="1" applyFill="0" applyBorder="1" applyAlignment="1">
      <alignment horizontal="left" vertical="center" textRotation="0" wrapText="false" shrinkToFit="false"/>
    </xf>
    <xf xfId="0" fontId="8" numFmtId="166" fillId="2" borderId="2" applyFont="1" applyNumberFormat="1" applyFill="0" applyBorder="1" applyAlignment="1">
      <alignment horizontal="left" vertical="bottom" textRotation="0" wrapText="false" shrinkToFit="false"/>
    </xf>
    <xf xfId="0" fontId="8" numFmtId="166" fillId="2" borderId="2" applyFont="1" applyNumberFormat="1" applyFill="0" applyBorder="1" applyAlignment="1">
      <alignment horizontal="left" vertical="bottom" textRotation="0" wrapText="false" shrinkToFit="false"/>
    </xf>
    <xf xfId="0" fontId="6" numFmtId="0" fillId="2" borderId="2" applyFont="1" applyNumberFormat="0" applyFill="0" applyBorder="1" applyAlignment="1">
      <alignment horizontal="center" vertical="bottom" textRotation="0" wrapText="false" shrinkToFit="false"/>
    </xf>
    <xf xfId="0" fontId="7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176" fillId="2" borderId="2" applyFont="1" applyNumberFormat="1" applyFill="0" applyBorder="1" applyAlignment="1">
      <alignment horizontal="center" vertical="bottom" textRotation="0" wrapText="false" shrinkToFit="false"/>
    </xf>
    <xf xfId="0" fontId="5" numFmtId="172" fillId="2" borderId="2" applyFont="1" applyNumberFormat="1" applyFill="0" applyBorder="1" applyAlignment="1">
      <alignment horizontal="left" vertical="bottom" textRotation="0" wrapText="false" shrinkToFit="false"/>
    </xf>
    <xf xfId="0" fontId="5" numFmtId="167" fillId="2" borderId="2" applyFont="1" applyNumberFormat="1" applyFill="0" applyBorder="1" applyAlignment="1">
      <alignment horizontal="left" vertical="bottom" textRotation="0" wrapText="false" shrinkToFit="false"/>
    </xf>
    <xf xfId="0" fontId="5" numFmtId="173" fillId="2" borderId="2" applyFont="1" applyNumberFormat="1" applyFill="0" applyBorder="1" applyAlignment="0">
      <alignment horizontal="general" vertical="bottom" textRotation="0" wrapText="false" shrinkToFit="false"/>
    </xf>
    <xf xfId="0" fontId="5" numFmtId="174" fillId="2" borderId="2" applyFont="1" applyNumberFormat="1" applyFill="0" applyBorder="1" applyAlignment="1">
      <alignment horizontal="left" vertical="bottom" textRotation="0" wrapText="false" shrinkToFit="false"/>
    </xf>
    <xf xfId="0" fontId="5" numFmtId="174" fillId="2" borderId="2" applyFont="1" applyNumberFormat="1" applyFill="0" applyBorder="1" applyAlignment="0">
      <alignment horizontal="general" vertical="bottom" textRotation="0" wrapText="false" shrinkToFit="false"/>
    </xf>
    <xf xfId="0" fontId="8" numFmtId="174" fillId="2" borderId="2" applyFont="1" applyNumberFormat="1" applyFill="0" applyBorder="1" applyAlignment="1">
      <alignment horizontal="left" vertical="bottom" textRotation="0" wrapText="false" shrinkToFit="false"/>
    </xf>
    <xf xfId="0" fontId="8" numFmtId="174" fillId="2" borderId="2" applyFont="1" applyNumberFormat="1" applyFill="0" applyBorder="1" applyAlignment="0">
      <alignment horizontal="general" vertical="bottom" textRotation="0" wrapText="false" shrinkToFit="false"/>
    </xf>
    <xf xfId="0" fontId="4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175" fillId="2" borderId="2" applyFont="1" applyNumberFormat="1" applyFill="0" applyBorder="1" applyAlignment="1">
      <alignment horizontal="left" vertical="bottom" textRotation="0" wrapText="false" shrinkToFit="false"/>
    </xf>
    <xf xfId="0" fontId="5" numFmtId="175" fillId="2" borderId="2" applyFont="1" applyNumberFormat="1" applyFill="0" applyBorder="1" applyAlignment="0">
      <alignment horizontal="general" vertical="bottom" textRotation="0" wrapText="false" shrinkToFit="false"/>
    </xf>
    <xf xfId="0" fontId="5" numFmtId="169" fillId="2" borderId="2" applyFont="1" applyNumberFormat="1" applyFill="0" applyBorder="1" applyAlignment="1">
      <alignment horizontal="center" vertical="center" textRotation="0" wrapText="false" shrinkToFit="false"/>
    </xf>
    <xf xfId="0" fontId="5" numFmtId="169" fillId="2" borderId="2" applyFont="1" applyNumberFormat="1" applyFill="0" applyBorder="1" applyAlignment="1">
      <alignment horizontal="left" vertical="bottom" textRotation="0" wrapText="false" shrinkToFit="false"/>
    </xf>
    <xf xfId="0" fontId="5" numFmtId="49" fillId="2" borderId="2" applyFont="1" applyNumberFormat="1" applyFill="0" applyBorder="1" applyAlignment="1">
      <alignment horizontal="center" vertical="center" textRotation="0" wrapText="false" shrinkToFit="false"/>
    </xf>
    <xf xfId="0" fontId="8" numFmtId="173" fillId="2" borderId="2" applyFont="1" applyNumberFormat="1" applyFill="0" applyBorder="1" applyAlignment="1">
      <alignment horizontal="center" vertical="center" textRotation="0" wrapText="false" shrinkToFit="false"/>
    </xf>
    <xf xfId="0" fontId="41" numFmtId="171" fillId="2" borderId="2" applyFont="1" applyNumberFormat="1" applyFill="0" applyBorder="1" applyAlignment="1">
      <alignment horizontal="left" vertical="bottom" textRotation="0" wrapText="false" shrinkToFit="false"/>
    </xf>
    <xf xfId="0" fontId="8" numFmtId="164" fillId="2" borderId="3" applyFont="1" applyNumberFormat="1" applyFill="0" applyBorder="1" applyAlignment="1">
      <alignment horizontal="left" vertical="bottom" textRotation="0" wrapText="false" shrinkToFit="false"/>
    </xf>
    <xf xfId="0" fontId="5" numFmtId="0" fillId="2" borderId="3" applyFont="1" applyNumberFormat="0" applyFill="0" applyBorder="1" applyAlignment="0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bottom" textRotation="0" wrapText="false" shrinkToFit="false"/>
    </xf>
    <xf xfId="0" fontId="6" numFmtId="0" fillId="2" borderId="3" applyFont="1" applyNumberFormat="0" applyFill="0" applyBorder="1" applyAlignment="1">
      <alignment horizontal="center" vertical="bottom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7" numFmtId="0" fillId="2" borderId="6" applyFont="1" applyNumberFormat="0" applyFill="0" applyBorder="1" applyAlignment="1">
      <alignment horizontal="left" vertical="center" textRotation="0" wrapText="false" shrinkToFit="false" indent="2"/>
    </xf>
    <xf xfId="0" fontId="17" numFmtId="0" fillId="2" borderId="6" applyFont="1" applyNumberFormat="0" applyFill="0" applyBorder="1" applyAlignment="1">
      <alignment horizontal="left" vertical="center" textRotation="0" wrapText="false" shrinkToFit="false"/>
    </xf>
    <xf xfId="0" fontId="17" numFmtId="0" fillId="2" borderId="6" applyFont="1" applyNumberFormat="0" applyFill="0" applyBorder="1" applyAlignment="1">
      <alignment horizontal="general" vertical="center" textRotation="0" wrapText="false" shrinkToFit="false"/>
    </xf>
    <xf xfId="0" fontId="19" numFmtId="167" fillId="2" borderId="6" applyFont="1" applyNumberFormat="1" applyFill="0" applyBorder="1" applyAlignment="1">
      <alignment horizontal="left" vertical="center" textRotation="0" wrapText="false" shrinkToFit="false"/>
    </xf>
    <xf xfId="0" fontId="5" numFmtId="49" fillId="2" borderId="6" applyFont="1" applyNumberFormat="1" applyFill="0" applyBorder="1" applyAlignment="1">
      <alignment horizontal="center" vertical="center" textRotation="0" wrapText="false" shrinkToFit="false"/>
    </xf>
    <xf xfId="0" fontId="5" numFmtId="166" fillId="2" borderId="6" applyFont="1" applyNumberFormat="1" applyFill="0" applyBorder="1" applyAlignment="1">
      <alignment horizontal="left" vertical="center" textRotation="0" wrapText="false" shrinkToFit="false"/>
    </xf>
    <xf xfId="0" fontId="5" numFmtId="166" fillId="2" borderId="6" applyFont="1" applyNumberFormat="1" applyFill="0" applyBorder="1" applyAlignment="1">
      <alignment horizontal="left" vertical="center" textRotation="0" wrapText="false" shrinkToFit="false"/>
    </xf>
    <xf xfId="0" fontId="43" numFmtId="0" fillId="2" borderId="0" applyFont="1" applyNumberFormat="0" applyFill="0" applyBorder="0" applyAlignment="0">
      <alignment horizontal="general" vertical="bottom" textRotation="0" wrapText="false" shrinkToFit="false"/>
    </xf>
    <xf xfId="0" fontId="44" numFmtId="164" fillId="2" borderId="0" applyFont="1" applyNumberFormat="1" applyFill="0" applyBorder="0" applyAlignment="1">
      <alignment horizontal="left" vertical="bottom" textRotation="0" wrapText="false" shrinkToFit="false"/>
    </xf>
    <xf xfId="0" fontId="5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168" fillId="2" borderId="0" applyFont="1" applyNumberFormat="1" applyFill="0" applyBorder="0" applyAlignment="1">
      <alignment horizontal="left" vertical="bottom" textRotation="0" wrapText="false" shrinkToFit="false"/>
    </xf>
    <xf xfId="0" fontId="5" numFmtId="168" fillId="2" borderId="0" applyFont="1" applyNumberFormat="1" applyFill="0" applyBorder="0" applyAlignment="1">
      <alignment horizontal="center" vertical="bottom" textRotation="0" wrapText="false" shrinkToFit="false"/>
    </xf>
    <xf xfId="0" fontId="5" numFmtId="168" fillId="2" borderId="0" applyFont="1" applyNumberFormat="1" applyFill="0" applyBorder="0" applyAlignment="1">
      <alignment horizontal="right" vertical="bottom" textRotation="0" wrapText="false" shrinkToFit="false"/>
    </xf>
    <xf xfId="0" fontId="6" numFmtId="0" fillId="2" borderId="6" applyFont="1" applyNumberFormat="0" applyFill="0" applyBorder="1" applyAlignment="0">
      <alignment horizontal="general" vertical="bottom" textRotation="0" wrapText="false" shrinkToFit="false"/>
    </xf>
    <xf xfId="0" fontId="43" numFmtId="0" fillId="2" borderId="6" applyFont="1" applyNumberFormat="0" applyFill="0" applyBorder="1" applyAlignment="1">
      <alignment horizontal="center" vertical="bottom" textRotation="0" wrapText="false" shrinkToFit="false"/>
    </xf>
    <xf xfId="0" fontId="24" numFmtId="170" fillId="2" borderId="6" applyFont="1" applyNumberFormat="1" applyFill="0" applyBorder="1" applyAlignment="1">
      <alignment horizontal="left" vertical="bottom" textRotation="0" wrapText="false" shrinkToFit="false"/>
    </xf>
    <xf xfId="0" fontId="43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6" applyFont="1" applyNumberFormat="0" applyFill="0" applyBorder="1" applyAlignment="1">
      <alignment horizontal="center" vertical="bottom" textRotation="0" wrapText="false" shrinkToFit="false"/>
    </xf>
    <xf xfId="0" fontId="8" numFmtId="169" fillId="2" borderId="2" applyFont="1" applyNumberFormat="1" applyFill="0" applyBorder="1" applyAlignment="1">
      <alignment horizontal="left" vertical="center" textRotation="0" wrapText="false" shrinkToFit="false"/>
    </xf>
    <xf xfId="0" fontId="8" numFmtId="169" fillId="2" borderId="0" applyFont="1" applyNumberFormat="1" applyFill="0" applyBorder="0" applyAlignment="1">
      <alignment horizontal="left" vertical="center" textRotation="0" wrapText="false" shrinkToFit="false"/>
    </xf>
    <xf xfId="0" fontId="8" numFmtId="170" fillId="2" borderId="2" applyFont="1" applyNumberFormat="1" applyFill="0" applyBorder="1" applyAlignment="1">
      <alignment horizontal="left" vertical="bottom" textRotation="0" wrapText="false" shrinkToFit="false"/>
    </xf>
    <xf xfId="0" fontId="8" numFmtId="170" fillId="2" borderId="0" applyFont="1" applyNumberFormat="1" applyFill="0" applyBorder="0" applyAlignment="1">
      <alignment horizontal="left" vertical="bottom" textRotation="0" wrapText="false" shrinkToFit="false"/>
    </xf>
    <xf xfId="0" fontId="5" numFmtId="169" fillId="2" borderId="2" applyFont="1" applyNumberFormat="1" applyFill="0" applyBorder="1" applyAlignment="1">
      <alignment horizontal="left" vertical="bottom" textRotation="0" wrapText="false" shrinkToFit="false"/>
    </xf>
    <xf xfId="0" fontId="8" numFmtId="168" fillId="2" borderId="2" applyFont="1" applyNumberFormat="1" applyFill="0" applyBorder="1" applyAlignment="1">
      <alignment horizontal="left" vertical="center" textRotation="0" wrapText="false" shrinkToFit="false"/>
    </xf>
    <xf xfId="0" fontId="8" numFmtId="168" fillId="2" borderId="2" applyFont="1" applyNumberFormat="1" applyFill="0" applyBorder="1" applyAlignment="1">
      <alignment horizontal="left" vertical="center" textRotation="0" wrapText="false" shrinkToFit="false"/>
    </xf>
    <xf xfId="0" fontId="8" numFmtId="168" fillId="2" borderId="0" applyFont="1" applyNumberFormat="1" applyFill="0" applyBorder="0" applyAlignment="1">
      <alignment horizontal="left" vertical="center" textRotation="0" wrapText="false" shrinkToFit="false"/>
    </xf>
    <xf xfId="0" fontId="8" numFmtId="169" fillId="2" borderId="2" applyFont="1" applyNumberFormat="1" applyFill="0" applyBorder="1" applyAlignment="1">
      <alignment horizontal="left" vertical="bottom" textRotation="0" wrapText="false" shrinkToFit="false"/>
    </xf>
    <xf xfId="0" fontId="5" numFmtId="169" fillId="2" borderId="2" applyFont="1" applyNumberFormat="1" applyFill="0" applyBorder="1" applyAlignment="1">
      <alignment horizontal="center" vertical="bottom" textRotation="0" wrapText="false" shrinkToFit="false"/>
    </xf>
    <xf xfId="0" fontId="8" numFmtId="169" fillId="2" borderId="2" applyFont="1" applyNumberFormat="1" applyFill="0" applyBorder="1" applyAlignment="1">
      <alignment horizontal="center" vertical="center" textRotation="0" wrapText="false" shrinkToFit="false"/>
    </xf>
    <xf xfId="0" fontId="5" numFmtId="175" fillId="2" borderId="2" applyFont="1" applyNumberFormat="1" applyFill="0" applyBorder="1" applyAlignment="1">
      <alignment horizontal="left" vertical="center" textRotation="0" wrapText="false" shrinkToFit="false"/>
    </xf>
    <xf xfId="0" fontId="5" numFmtId="175" fillId="2" borderId="0" applyFont="1" applyNumberFormat="1" applyFill="0" applyBorder="0" applyAlignment="1">
      <alignment horizontal="left" vertical="center" textRotation="0" wrapText="false" shrinkToFit="false"/>
    </xf>
    <xf xfId="0" fontId="24" numFmtId="175" fillId="2" borderId="3" applyFont="1" applyNumberFormat="1" applyFill="0" applyBorder="1" applyAlignment="1">
      <alignment horizontal="left" vertical="bottom" textRotation="0" wrapText="false" shrinkToFit="false"/>
    </xf>
    <xf xfId="0" fontId="24" numFmtId="175" fillId="2" borderId="1" applyFont="1" applyNumberFormat="1" applyFill="0" applyBorder="1" applyAlignment="1">
      <alignment horizontal="left" vertical="bottom" textRotation="0" wrapText="false" shrinkToFit="false"/>
    </xf>
    <xf xfId="0" fontId="24" numFmtId="175" fillId="2" borderId="2" applyFont="1" applyNumberFormat="1" applyFill="0" applyBorder="1" applyAlignment="1">
      <alignment horizontal="left" vertical="bottom" textRotation="0" wrapText="false" shrinkToFit="false"/>
    </xf>
    <xf xfId="0" fontId="24" numFmtId="175" fillId="2" borderId="7" applyFont="1" applyNumberFormat="1" applyFill="0" applyBorder="1" applyAlignment="1">
      <alignment horizontal="left" vertical="bottom" textRotation="0" wrapText="false" shrinkToFit="false"/>
    </xf>
    <xf xfId="0" fontId="5" numFmtId="175" fillId="2" borderId="2" applyFont="1" applyNumberFormat="1" applyFill="0" applyBorder="1" applyAlignment="1">
      <alignment horizontal="left" vertical="center" textRotation="0" wrapText="false" shrinkToFit="false"/>
    </xf>
    <xf xfId="0" fontId="5" numFmtId="175" fillId="2" borderId="0" applyFont="1" applyNumberFormat="1" applyFill="0" applyBorder="0" applyAlignment="1">
      <alignment horizontal="left" vertical="center" textRotation="0" wrapText="false" shrinkToFit="false"/>
    </xf>
    <xf xfId="0" fontId="5" numFmtId="175" fillId="2" borderId="2" applyFont="1" applyNumberFormat="1" applyFill="0" applyBorder="1" applyAlignment="1">
      <alignment horizontal="left" vertical="bottom" textRotation="0" wrapText="false" shrinkToFit="false"/>
    </xf>
    <xf xfId="0" fontId="5" numFmtId="175" fillId="2" borderId="0" applyFont="1" applyNumberFormat="1" applyFill="0" applyBorder="0" applyAlignment="1">
      <alignment horizontal="left" vertical="bottom" textRotation="0" wrapText="false" shrinkToFit="false"/>
    </xf>
    <xf xfId="0" fontId="5" numFmtId="175" fillId="2" borderId="2" applyFont="1" applyNumberFormat="1" applyFill="0" applyBorder="1" applyAlignment="1">
      <alignment horizontal="center" vertical="bottom" textRotation="0" wrapText="false" shrinkToFit="false"/>
    </xf>
    <xf xfId="0" fontId="5" numFmtId="175" fillId="2" borderId="0" applyFont="1" applyNumberFormat="1" applyFill="0" applyBorder="0" applyAlignment="1">
      <alignment horizontal="left" vertical="bottom" textRotation="0" wrapText="false" shrinkToFit="false"/>
    </xf>
    <xf xfId="0" fontId="5" numFmtId="175" fillId="2" borderId="2" applyFont="1" applyNumberFormat="1" applyFill="0" applyBorder="1" applyAlignment="1">
      <alignment horizontal="center" vertical="center" textRotation="0" wrapText="false" shrinkToFit="false"/>
    </xf>
    <xf xfId="0" fontId="5" numFmtId="175" fillId="2" borderId="0" applyFont="1" applyNumberFormat="1" applyFill="0" applyBorder="0" applyAlignment="1">
      <alignment horizontal="general" vertical="center" textRotation="0" wrapText="false" shrinkToFit="false"/>
    </xf>
    <xf xfId="0" fontId="24" numFmtId="175" fillId="2" borderId="0" applyFont="1" applyNumberFormat="1" applyFill="0" applyBorder="0" applyAlignment="1">
      <alignment horizontal="left" vertical="bottom" textRotation="0" wrapText="false" shrinkToFit="false"/>
    </xf>
    <xf xfId="0" fontId="45" numFmtId="175" fillId="2" borderId="2" applyFont="1" applyNumberFormat="1" applyFill="0" applyBorder="1" applyAlignment="1">
      <alignment horizontal="left" vertical="bottom" textRotation="0" wrapText="false" shrinkToFit="false"/>
    </xf>
    <xf xfId="0" fontId="45" numFmtId="175" fillId="2" borderId="7" applyFont="1" applyNumberFormat="1" applyFill="0" applyBorder="1" applyAlignment="1">
      <alignment horizontal="left" vertical="bottom" textRotation="0" wrapText="false" shrinkToFit="false"/>
    </xf>
    <xf xfId="0" fontId="24" numFmtId="175" fillId="2" borderId="3" applyFont="1" applyNumberFormat="1" applyFill="0" applyBorder="1" applyAlignment="1">
      <alignment horizontal="left" vertical="bottom" textRotation="0" wrapText="false" shrinkToFit="false"/>
    </xf>
    <xf xfId="0" fontId="24" numFmtId="175" fillId="2" borderId="4" applyFont="1" applyNumberFormat="1" applyFill="0" applyBorder="1" applyAlignment="1">
      <alignment horizontal="left" vertical="bottom" textRotation="0" wrapText="false" shrinkToFit="false"/>
    </xf>
    <xf xfId="0" fontId="24" numFmtId="170" fillId="2" borderId="3" applyFont="1" applyNumberFormat="1" applyFill="0" applyBorder="1" applyAlignment="1">
      <alignment horizontal="left" vertical="bottom" textRotation="0" wrapText="false" shrinkToFit="false"/>
    </xf>
    <xf xfId="0" fontId="24" numFmtId="170" fillId="2" borderId="1" applyFont="1" applyNumberFormat="1" applyFill="0" applyBorder="1" applyAlignment="1">
      <alignment horizontal="left" vertical="bottom" textRotation="0" wrapText="false" shrinkToFit="false"/>
    </xf>
    <xf xfId="0" fontId="0" numFmtId="169" fillId="2" borderId="0" applyFont="0" applyNumberFormat="1" applyFill="0" applyBorder="0" applyAlignment="0">
      <alignment horizontal="general" vertical="bottom" textRotation="0" wrapText="false" shrinkToFit="false"/>
    </xf>
    <xf xfId="0" fontId="39" numFmtId="0" fillId="2" borderId="0" applyFont="1" applyNumberFormat="0" applyFill="0" applyBorder="0" applyAlignment="1">
      <alignment horizontal="center" vertical="bottom" textRotation="0" wrapText="false" shrinkToFit="false"/>
    </xf>
    <xf xfId="0" fontId="7" numFmtId="0" fillId="2" borderId="7" applyFont="1" applyNumberFormat="0" applyFill="0" applyBorder="1" applyAlignment="1">
      <alignment horizontal="center" vertical="center" textRotation="0" wrapText="true" shrinkToFit="false"/>
    </xf>
    <xf xfId="0" fontId="7" numFmtId="0" fillId="2" borderId="5" applyFont="1" applyNumberFormat="0" applyFill="0" applyBorder="1" applyAlignment="1">
      <alignment horizontal="center" vertical="center" textRotation="0" wrapText="tru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46" numFmtId="0" fillId="2" borderId="0" applyFont="1" applyNumberFormat="0" applyFill="0" applyBorder="0" applyAlignment="1">
      <alignment horizontal="center" vertical="center" textRotation="0" wrapText="false" shrinkToFit="false"/>
    </xf>
    <xf xfId="0" fontId="25" numFmtId="0" fillId="2" borderId="0" applyFont="1" applyNumberFormat="0" applyFill="0" applyBorder="0" applyAlignment="1">
      <alignment horizontal="left" vertical="center" textRotation="0" wrapText="false" shrinkToFit="false"/>
    </xf>
    <xf xfId="0" fontId="5" numFmtId="177" fillId="2" borderId="2" applyFont="1" applyNumberFormat="1" applyFill="0" applyBorder="1" applyAlignment="1">
      <alignment horizontal="left" vertical="bottom" textRotation="0" wrapText="false" shrinkToFit="false"/>
    </xf>
    <xf xfId="0" fontId="5" numFmtId="177" fillId="2" borderId="0" applyFont="1" applyNumberFormat="1" applyFill="0" applyBorder="0" applyAlignment="1">
      <alignment horizontal="left" vertical="bottom" textRotation="0" wrapText="false" shrinkToFit="false"/>
    </xf>
    <xf xfId="0" fontId="5" numFmtId="177" fillId="2" borderId="0" applyFont="1" applyNumberFormat="1" applyFill="0" applyBorder="0" applyAlignment="0">
      <alignment horizontal="general" vertical="bottom" textRotation="0" wrapText="false" shrinkToFit="false"/>
    </xf>
    <xf xfId="0" fontId="5" numFmtId="177" fillId="2" borderId="0" applyFont="1" applyNumberFormat="1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5" numFmtId="166" fillId="2" borderId="2" applyFont="1" applyNumberFormat="1" applyFill="0" applyBorder="1" applyAlignment="1">
      <alignment horizontal="center" vertical="bottom" textRotation="0" wrapText="false" shrinkToFit="false"/>
    </xf>
    <xf xfId="0" fontId="5" numFmtId="173" fillId="2" borderId="0" applyFont="1" applyNumberFormat="1" applyFill="0" applyBorder="0" applyAlignment="1">
      <alignment horizontal="left" vertical="bottom" textRotation="0" wrapText="false" shrinkToFit="false"/>
    </xf>
    <xf xfId="0" fontId="17" numFmtId="174" fillId="2" borderId="0" applyFont="1" applyNumberFormat="1" applyFill="0" applyBorder="0" applyAlignment="1">
      <alignment horizontal="left" vertical="bottom" textRotation="0" wrapText="false" shrinkToFit="false"/>
    </xf>
    <xf xfId="0" fontId="5" numFmtId="173" fillId="2" borderId="0" applyFont="1" applyNumberFormat="1" applyFill="0" applyBorder="0" applyAlignment="1">
      <alignment horizontal="left" vertical="bottom" textRotation="0" wrapText="false" shrinkToFit="false"/>
    </xf>
    <xf xfId="0" fontId="5" numFmtId="170" fillId="2" borderId="0" applyFont="1" applyNumberFormat="1" applyFill="0" applyBorder="0" applyAlignment="1">
      <alignment horizontal="left" vertical="bottom" textRotation="0" wrapText="false" shrinkToFit="false"/>
    </xf>
    <xf xfId="0" fontId="8" numFmtId="166" fillId="2" borderId="2" applyFont="1" applyNumberFormat="1" applyFill="0" applyBorder="1" applyAlignment="1">
      <alignment horizontal="center" vertical="bottom" textRotation="0" wrapText="false" shrinkToFit="false"/>
    </xf>
    <xf xfId="0" fontId="8" numFmtId="168" fillId="2" borderId="2" applyFont="1" applyNumberFormat="1" applyFill="0" applyBorder="1" applyAlignment="1">
      <alignment horizontal="left" vertical="bottom" textRotation="0" wrapText="false" shrinkToFit="false"/>
    </xf>
    <xf xfId="0" fontId="8" numFmtId="169" fillId="2" borderId="0" applyFont="1" applyNumberFormat="1" applyFill="0" applyBorder="0" applyAlignment="1">
      <alignment horizontal="left" vertical="bottom" textRotation="0" wrapText="false" shrinkToFit="false"/>
    </xf>
    <xf xfId="0" fontId="5" numFmtId="168" fillId="2" borderId="0" applyFont="1" applyNumberFormat="1" applyFill="0" applyBorder="0" applyAlignment="1">
      <alignment horizontal="left" vertical="bottom" textRotation="0" wrapText="false" shrinkToFit="false"/>
    </xf>
    <xf xfId="0" fontId="5" numFmtId="170" fillId="2" borderId="0" applyFont="1" applyNumberFormat="1" applyFill="0" applyBorder="0" applyAlignment="1">
      <alignment horizontal="left" vertical="center" textRotation="0" wrapText="false" shrinkToFit="false"/>
    </xf>
    <xf xfId="0" fontId="24" numFmtId="170" fillId="2" borderId="0" applyFont="1" applyNumberFormat="1" applyFill="0" applyBorder="0" applyAlignment="1">
      <alignment horizontal="left" vertical="bottom" textRotation="0" wrapText="false" shrinkToFit="false"/>
    </xf>
    <xf xfId="0" fontId="6" numFmtId="170" fillId="2" borderId="3" applyFont="1" applyNumberFormat="1" applyFill="0" applyBorder="1" applyAlignment="1">
      <alignment horizontal="left" vertical="bottom" textRotation="0" wrapText="false" shrinkToFit="false"/>
    </xf>
    <xf xfId="0" fontId="6" numFmtId="170" fillId="2" borderId="1" applyFont="1" applyNumberFormat="1" applyFill="0" applyBorder="1" applyAlignment="1">
      <alignment horizontal="left" vertical="bottom" textRotation="0" wrapText="false" shrinkToFit="false"/>
    </xf>
    <xf xfId="0" fontId="5" numFmtId="49" fillId="2" borderId="0" applyFont="1" applyNumberFormat="1" applyFill="0" applyBorder="0" applyAlignment="1">
      <alignment horizontal="center" vertical="center" textRotation="0" wrapText="false" shrinkToFit="false"/>
    </xf>
    <xf xfId="0" fontId="47" numFmtId="0" fillId="2" borderId="0" applyFont="1" applyNumberFormat="0" applyFill="0" applyBorder="0" applyAlignment="1">
      <alignment horizontal="left" vertical="center" textRotation="0" wrapText="false" shrinkToFit="false"/>
    </xf>
    <xf xfId="0" fontId="48" numFmtId="0" fillId="2" borderId="0" applyFont="1" applyNumberFormat="0" applyFill="0" applyBorder="0" applyAlignment="1">
      <alignment horizontal="left" vertical="center" textRotation="0" wrapText="false" shrinkToFit="false"/>
    </xf>
    <xf xfId="0" fontId="39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169" fillId="2" borderId="0" applyFont="1" applyNumberFormat="1" applyFill="0" applyBorder="0" applyAlignment="1">
      <alignment horizontal="left" vertical="center" textRotation="0" wrapText="false" shrinkToFit="false"/>
    </xf>
    <xf xfId="0" fontId="0" numFmtId="169" fillId="2" borderId="0" applyFont="0" applyNumberFormat="1" applyFill="0" applyBorder="0" applyAlignment="1">
      <alignment horizontal="left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0" numFmtId="169" fillId="2" borderId="0" applyFont="0" applyNumberFormat="1" applyFill="0" applyBorder="0" applyAlignment="1">
      <alignment horizontal="left" vertical="bottom" textRotation="0" wrapText="false" shrinkToFit="false"/>
    </xf>
    <xf xfId="0" fontId="39" numFmtId="0" fillId="2" borderId="0" applyFont="1" applyNumberFormat="0" applyFill="0" applyBorder="0" applyAlignment="1">
      <alignment horizontal="center" vertical="top" textRotation="0" wrapText="false" shrinkToFit="false"/>
    </xf>
    <xf xfId="0" fontId="0" numFmtId="0" fillId="2" borderId="0" applyFont="0" applyNumberFormat="0" applyFill="0" applyBorder="0" applyAlignment="1">
      <alignment horizontal="center" vertical="top" textRotation="0" wrapText="false" shrinkToFit="false"/>
    </xf>
    <xf xfId="0" fontId="47" quotePrefix="1" numFmtId="0" fillId="2" borderId="0" applyFont="1" applyNumberFormat="0" applyFill="0" applyBorder="0" applyAlignment="1">
      <alignment horizontal="right" vertical="center" textRotation="0" wrapText="false" shrinkToFit="false"/>
    </xf>
    <xf xfId="0" fontId="4" numFmtId="0" fillId="2" borderId="0" applyFont="1" applyNumberFormat="0" applyFill="0" applyBorder="0" applyAlignment="1">
      <alignment horizontal="justify" vertical="top" textRotation="0" wrapText="true" shrinkToFit="false"/>
    </xf>
    <xf xfId="0" fontId="5" numFmtId="0" fillId="2" borderId="0" applyFont="1" applyNumberFormat="0" applyFill="0" applyBorder="0" applyAlignment="1">
      <alignment horizontal="center" vertical="top" textRotation="0" wrapText="false" shrinkToFit="false"/>
    </xf>
    <xf xfId="0" fontId="2" numFmtId="169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169" fillId="2" borderId="0" applyFont="0" applyNumberFormat="1" applyFill="0" applyBorder="0" applyAlignment="1">
      <alignment horizontal="general" vertical="center" textRotation="0" wrapText="false" shrinkToFit="false"/>
    </xf>
    <xf xfId="0" fontId="19" numFmtId="169" fillId="2" borderId="0" applyFont="1" applyNumberFormat="1" applyFill="0" applyBorder="0" applyAlignment="0">
      <alignment horizontal="general" vertical="bottom" textRotation="0" wrapText="false" shrinkToFit="false"/>
    </xf>
    <xf xfId="0" fontId="2" numFmtId="169" fillId="2" borderId="0" applyFont="1" applyNumberFormat="1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8" numFmtId="175" fillId="2" borderId="2" applyFont="1" applyNumberFormat="1" applyFill="0" applyBorder="1" applyAlignment="1">
      <alignment horizontal="left" vertical="bottom" textRotation="0" wrapText="false" shrinkToFit="false"/>
    </xf>
    <xf xfId="0" fontId="8" numFmtId="175" fillId="2" borderId="2" applyFont="1" applyNumberFormat="1" applyFill="0" applyBorder="1" applyAlignment="0">
      <alignment horizontal="general" vertical="bottom" textRotation="0" wrapText="false" shrinkToFit="false"/>
    </xf>
    <xf xfId="0" fontId="8" numFmtId="175" fillId="2" borderId="0" applyFont="1" applyNumberFormat="1" applyFill="0" applyBorder="0" applyAlignment="1">
      <alignment horizontal="left" vertical="bottom" textRotation="0" wrapText="false" shrinkToFit="false"/>
    </xf>
    <xf xfId="0" fontId="2" numFmtId="169" fillId="2" borderId="0" applyFont="1" applyNumberFormat="1" applyFill="0" applyBorder="0" applyAlignment="0">
      <alignment horizontal="general" vertical="bottom" textRotation="0" wrapText="false" shrinkToFit="false"/>
    </xf>
    <xf xfId="0" fontId="17" numFmtId="169" fillId="2" borderId="0" applyFont="1" applyNumberFormat="1" applyFill="0" applyBorder="0" applyAlignment="1">
      <alignment horizontal="left" vertical="center" textRotation="0" wrapText="false" shrinkToFit="false"/>
    </xf>
    <xf xfId="0" fontId="24" numFmtId="175" fillId="2" borderId="2" applyFont="1" applyNumberFormat="1" applyFill="0" applyBorder="1" applyAlignment="1">
      <alignment horizontal="center" vertical="bottom" textRotation="0" wrapText="false" shrinkToFit="false"/>
    </xf>
    <xf xfId="0" fontId="24" numFmtId="175" fillId="2" borderId="7" applyFont="1" applyNumberFormat="1" applyFill="0" applyBorder="1" applyAlignment="1">
      <alignment horizontal="center" vertical="bottom" textRotation="0" wrapText="false" shrinkToFit="false"/>
    </xf>
    <xf xfId="0" fontId="49" numFmtId="169" fillId="2" borderId="0" applyFont="1" applyNumberFormat="1" applyFill="0" applyBorder="0" applyAlignment="1">
      <alignment horizontal="general" vertical="center" textRotation="0" wrapText="false" shrinkToFit="false"/>
    </xf>
    <xf xfId="0" fontId="24" numFmtId="175" fillId="2" borderId="2" applyFont="1" applyNumberFormat="1" applyFill="0" applyBorder="1" applyAlignment="1">
      <alignment horizontal="left" vertical="center" textRotation="0" wrapText="false" shrinkToFit="false"/>
    </xf>
    <xf xfId="0" fontId="24" numFmtId="175" fillId="2" borderId="0" applyFont="1" applyNumberFormat="1" applyFill="0" applyBorder="0" applyAlignment="1">
      <alignment horizontal="left" vertical="center" textRotation="0" wrapText="false" shrinkToFit="false"/>
    </xf>
    <xf xfId="0" fontId="45" numFmtId="170" fillId="2" borderId="2" applyFont="1" applyNumberFormat="1" applyFill="0" applyBorder="1" applyAlignment="1">
      <alignment horizontal="left" vertical="bottom" textRotation="0" wrapText="false" shrinkToFit="false"/>
    </xf>
    <xf xfId="0" fontId="45" numFmtId="170" fillId="2" borderId="7" applyFont="1" applyNumberFormat="1" applyFill="0" applyBorder="1" applyAlignment="1">
      <alignment horizontal="left" vertical="bottom" textRotation="0" wrapText="false" shrinkToFit="false"/>
    </xf>
    <xf xfId="0" fontId="45" numFmtId="170" fillId="2" borderId="0" applyFont="1" applyNumberFormat="1" applyFill="0" applyBorder="0" applyAlignment="1">
      <alignment horizontal="left" vertical="bottom" textRotation="0" wrapText="false" shrinkToFit="false"/>
    </xf>
    <xf xfId="0" fontId="22" numFmtId="0" fillId="2" borderId="1" applyFont="1" applyNumberFormat="0" applyFill="0" applyBorder="1" applyAlignment="1">
      <alignment horizontal="left" vertical="center" textRotation="0" wrapText="false" shrinkToFit="false" indent="1"/>
    </xf>
    <xf xfId="0" fontId="22" numFmtId="0" fillId="2" borderId="1" applyFont="1" applyNumberFormat="0" applyFill="0" applyBorder="1" applyAlignment="1">
      <alignment horizontal="left" vertical="center" textRotation="0" wrapText="false" shrinkToFit="false"/>
    </xf>
    <xf xfId="0" fontId="22" numFmtId="0" fillId="2" borderId="1" applyFont="1" applyNumberFormat="0" applyFill="0" applyBorder="1" applyAlignment="1">
      <alignment horizontal="general" vertical="center" textRotation="0" wrapText="false" shrinkToFit="false"/>
    </xf>
    <xf xfId="0" fontId="23" numFmtId="167" fillId="2" borderId="1" applyFont="1" applyNumberFormat="1" applyFill="0" applyBorder="1" applyAlignment="1">
      <alignment horizontal="left" vertical="center" textRotation="0" wrapText="false" shrinkToFit="false"/>
    </xf>
    <xf xfId="0" fontId="6" numFmtId="49" fillId="2" borderId="3" applyFont="1" applyNumberFormat="1" applyFill="0" applyBorder="1" applyAlignment="1">
      <alignment horizontal="center" vertical="center" textRotation="0" wrapText="false" shrinkToFit="false"/>
    </xf>
    <xf xfId="0" fontId="24" numFmtId="166" fillId="2" borderId="3" applyFont="1" applyNumberFormat="1" applyFill="0" applyBorder="1" applyAlignment="1">
      <alignment horizontal="left" vertical="center" textRotation="0" wrapText="false" shrinkToFit="false"/>
    </xf>
    <xf xfId="0" fontId="24" numFmtId="168" fillId="2" borderId="3" applyFont="1" applyNumberFormat="1" applyFill="0" applyBorder="1" applyAlignment="1">
      <alignment horizontal="left" vertical="center" textRotation="0" wrapText="false" shrinkToFit="false"/>
    </xf>
    <xf xfId="0" fontId="24" numFmtId="168" fillId="2" borderId="1" applyFont="1" applyNumberFormat="1" applyFill="0" applyBorder="1" applyAlignment="1">
      <alignment horizontal="left" vertical="center" textRotation="0" wrapText="false" shrinkToFit="false"/>
    </xf>
    <xf xfId="0" fontId="24" numFmtId="166" fillId="2" borderId="1" applyFont="1" applyNumberFormat="1" applyFill="0" applyBorder="1" applyAlignment="1">
      <alignment horizontal="left" vertical="center" textRotation="0" wrapText="false" shrinkToFit="false"/>
    </xf>
    <xf xfId="0" fontId="14" numFmtId="169" fillId="2" borderId="0" applyFont="1" applyNumberFormat="1" applyFill="0" applyBorder="0" applyAlignment="1">
      <alignment horizontal="general" vertical="center" textRotation="0" wrapText="false" shrinkToFit="false"/>
    </xf>
    <xf xfId="0" fontId="19" numFmtId="167" fillId="2" borderId="0" applyFont="1" applyNumberFormat="1" applyFill="0" applyBorder="0" applyAlignment="1">
      <alignment horizontal="left" vertical="center" textRotation="0" wrapText="false" shrinkToFit="false"/>
    </xf>
    <xf xfId="0" fontId="5" numFmtId="166" fillId="2" borderId="0" applyFont="1" applyNumberFormat="1" applyFill="0" applyBorder="0" applyAlignment="1">
      <alignment horizontal="left" vertical="center" textRotation="0" wrapText="false" shrinkToFit="false"/>
    </xf>
    <xf xfId="0" fontId="39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169" fillId="2" borderId="0" applyFont="0" applyNumberFormat="1" applyFill="0" applyBorder="0" applyAlignment="0">
      <alignment horizontal="general" vertical="bottom" textRotation="0" wrapText="false" shrinkToFit="false"/>
    </xf>
    <xf xfId="0" fontId="0" numFmtId="169" fillId="2" borderId="0" applyFont="0" applyNumberFormat="1" applyFill="0" applyBorder="0" applyAlignment="0">
      <alignment horizontal="general" vertical="bottom" textRotation="0" wrapText="false" shrinkToFit="false"/>
    </xf>
    <xf xfId="0" fontId="39" numFmtId="0" fillId="2" borderId="0" applyFont="1" applyNumberFormat="0" applyFill="0" applyBorder="0" applyAlignment="0">
      <alignment horizontal="general" vertical="bottom" textRotation="0" wrapText="false" shrinkToFit="false"/>
    </xf>
    <xf xfId="0" fontId="47" quotePrefix="1" numFmtId="0" fillId="2" borderId="0" applyFont="1" applyNumberFormat="0" applyFill="0" applyBorder="0" applyAlignment="1">
      <alignment horizontal="right" vertical="bottom" textRotation="0" wrapText="false" shrinkToFit="false"/>
    </xf>
    <xf xfId="0" fontId="50" numFmtId="0" fillId="2" borderId="0" applyFont="1" applyNumberFormat="0" applyFill="0" applyBorder="0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1">
      <alignment horizontal="center" vertical="bottom" textRotation="0" wrapText="false" shrinkToFit="false"/>
    </xf>
    <xf xfId="0" fontId="11" numFmtId="168" fillId="2" borderId="0" applyFont="1" applyNumberFormat="1" applyFill="0" applyBorder="0" applyAlignment="1">
      <alignment horizontal="center" vertical="bottom" textRotation="0" wrapText="false" shrinkToFit="false"/>
    </xf>
    <xf xfId="0" fontId="40" numFmtId="0" fillId="2" borderId="0" applyFont="1" applyNumberFormat="0" applyFill="0" applyBorder="0" applyAlignment="1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center" textRotation="0" wrapText="false" shrinkToFit="false"/>
    </xf>
    <xf xfId="0" fontId="7" numFmtId="0" fillId="2" borderId="2" applyFont="1" applyNumberFormat="0" applyFill="0" applyBorder="1" applyAlignment="1">
      <alignment horizontal="center" vertical="center" textRotation="0" wrapText="false" shrinkToFit="false"/>
    </xf>
    <xf xfId="0" fontId="7" numFmtId="0" fillId="2" borderId="0" applyFont="1" applyNumberFormat="0" applyFill="0" applyBorder="0" applyAlignment="1">
      <alignment horizontal="center" vertical="center" textRotation="0" wrapText="false" shrinkToFit="false"/>
    </xf>
    <xf xfId="0" fontId="5" numFmtId="168" fillId="2" borderId="0" applyFont="1" applyNumberFormat="1" applyFill="0" applyBorder="0" applyAlignment="1">
      <alignment horizontal="center" vertical="center" textRotation="0" wrapText="false" shrinkToFit="false"/>
    </xf>
    <xf xfId="0" fontId="5" numFmtId="168" fillId="2" borderId="0" applyFont="1" applyNumberFormat="1" applyFill="0" applyBorder="0" applyAlignment="1">
      <alignment horizontal="center" vertical="center" textRotation="0" wrapText="false" shrinkToFit="false"/>
    </xf>
    <xf xfId="0" fontId="0" numFmtId="168" fillId="2" borderId="0" applyFont="0" applyNumberFormat="1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1" numFmtId="0" fillId="2" borderId="0" applyFont="1" applyNumberFormat="0" applyFill="0" applyBorder="0" applyAlignment="1">
      <alignment horizontal="general" vertical="center" textRotation="0" wrapText="false" shrinkToFit="false"/>
    </xf>
    <xf xfId="0" fontId="34" numFmtId="0" fillId="2" borderId="2" applyFont="1" applyNumberFormat="0" applyFill="0" applyBorder="1" applyAlignment="1">
      <alignment horizontal="general" vertical="center" textRotation="0" wrapText="false" shrinkToFit="false"/>
    </xf>
    <xf xfId="0" fontId="5" numFmtId="168" fillId="2" borderId="2" applyFont="1" applyNumberFormat="1" applyFill="0" applyBorder="1" applyAlignment="1">
      <alignment horizontal="general" vertical="center" textRotation="0" wrapText="false" shrinkToFit="false"/>
    </xf>
    <xf xfId="0" fontId="5" numFmtId="168" fillId="2" borderId="0" applyFont="1" applyNumberFormat="1" applyFill="0" applyBorder="0" applyAlignment="1">
      <alignment horizontal="general" vertical="center" textRotation="0" wrapText="false" shrinkToFit="false"/>
    </xf>
    <xf xfId="0" fontId="5" numFmtId="168" fillId="2" borderId="0" applyFont="1" applyNumberFormat="1" applyFill="0" applyBorder="0" applyAlignment="1">
      <alignment horizontal="general" vertical="center" textRotation="0" wrapText="false" shrinkToFit="false"/>
    </xf>
    <xf xfId="0" fontId="29" numFmtId="168" fillId="2" borderId="0" applyFont="1" applyNumberFormat="1" applyFill="0" applyBorder="0" applyAlignment="1">
      <alignment horizontal="general" vertical="center" textRotation="0" wrapText="false" shrinkToFit="false"/>
    </xf>
    <xf xfId="0" fontId="29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175" fillId="2" borderId="2" applyFont="1" applyNumberFormat="1" applyFill="0" applyBorder="1" applyAlignment="1">
      <alignment horizontal="center" vertical="center" textRotation="0" wrapText="false" shrinkToFit="false"/>
    </xf>
    <xf xfId="0" fontId="5" numFmtId="175" fillId="2" borderId="2" applyFont="1" applyNumberFormat="1" applyFill="0" applyBorder="1" applyAlignment="1">
      <alignment horizontal="general" vertical="center" textRotation="0" wrapText="false" shrinkToFit="false"/>
    </xf>
    <xf xfId="0" fontId="5" numFmtId="175" fillId="2" borderId="0" applyFont="1" applyNumberFormat="1" applyFill="0" applyBorder="0" applyAlignment="1">
      <alignment horizontal="general" vertical="center" textRotation="0" wrapText="false" shrinkToFit="false"/>
    </xf>
    <xf xfId="0" fontId="2" numFmtId="168" fillId="2" borderId="0" applyFont="1" applyNumberFormat="1" applyFill="0" applyBorder="0" applyAlignment="1">
      <alignment horizontal="general" vertical="center" textRotation="0" wrapText="false" shrinkToFit="false"/>
    </xf>
    <xf xfId="0" fontId="5" numFmtId="168" fillId="2" borderId="2" applyFont="1" applyNumberFormat="1" applyFill="0" applyBorder="1" applyAlignment="1">
      <alignment horizontal="center" vertical="center" textRotation="0" wrapText="false" shrinkToFit="false"/>
    </xf>
    <xf xfId="0" fontId="19" numFmtId="168" fillId="2" borderId="0" applyFont="1" applyNumberFormat="1" applyFill="0" applyBorder="0" applyAlignment="1">
      <alignment horizontal="general" vertical="center" textRotation="0" wrapText="false" shrinkToFit="false"/>
    </xf>
    <xf xfId="0" fontId="17" numFmtId="168" fillId="2" borderId="0" applyFont="1" applyNumberFormat="1" applyFill="0" applyBorder="0" applyAlignment="1">
      <alignment horizontal="general" vertical="center" textRotation="0" wrapText="false" shrinkToFit="false"/>
    </xf>
    <xf xfId="0" fontId="8" numFmtId="168" fillId="2" borderId="2" applyFont="1" applyNumberFormat="1" applyFill="0" applyBorder="1" applyAlignment="1">
      <alignment horizontal="general" vertical="center" textRotation="0" wrapText="false" shrinkToFit="false"/>
    </xf>
    <xf xfId="0" fontId="8" numFmtId="168" fillId="2" borderId="0" applyFont="1" applyNumberFormat="1" applyFill="0" applyBorder="0" applyAlignment="1">
      <alignment horizontal="general" vertical="center" textRotation="0" wrapText="false" shrinkToFit="false"/>
    </xf>
    <xf xfId="0" fontId="6" numFmtId="0" fillId="2" borderId="0" applyFont="1" applyNumberFormat="0" applyFill="0" applyBorder="0" applyAlignment="1">
      <alignment horizontal="left" vertical="center" textRotation="0" wrapText="false" shrinkToFit="false"/>
    </xf>
    <xf xfId="0" fontId="6" numFmtId="0" fillId="2" borderId="0" applyFont="1" applyNumberFormat="0" applyFill="0" applyBorder="0" applyAlignment="1">
      <alignment horizontal="center" vertical="center" textRotation="0" wrapText="false" shrinkToFit="false"/>
    </xf>
    <xf xfId="0" fontId="6" numFmtId="0" fillId="2" borderId="2" applyFont="1" applyNumberFormat="0" applyFill="0" applyBorder="1" applyAlignment="1">
      <alignment horizontal="center" vertical="center" textRotation="0" wrapText="false" shrinkToFit="false"/>
    </xf>
    <xf xfId="0" fontId="24" numFmtId="175" fillId="2" borderId="2" applyFont="1" applyNumberFormat="1" applyFill="0" applyBorder="1" applyAlignment="1">
      <alignment horizontal="general" vertical="center" textRotation="0" wrapText="false" shrinkToFit="false"/>
    </xf>
    <xf xfId="0" fontId="24" numFmtId="175" fillId="2" borderId="7" applyFont="1" applyNumberFormat="1" applyFill="0" applyBorder="1" applyAlignment="1">
      <alignment horizontal="general" vertical="center" textRotation="0" wrapText="false" shrinkToFit="false"/>
    </xf>
    <xf xfId="0" fontId="6" numFmtId="168" fillId="2" borderId="0" applyFont="1" applyNumberFormat="1" applyFill="0" applyBorder="0" applyAlignment="1">
      <alignment horizontal="general" vertical="center" textRotation="0" wrapText="false" shrinkToFit="false"/>
    </xf>
    <xf xfId="0" fontId="14" numFmtId="168" fillId="2" borderId="0" applyFont="1" applyNumberFormat="1" applyFill="0" applyBorder="0" applyAlignment="1">
      <alignment horizontal="general" vertical="center" textRotation="0" wrapText="false" shrinkToFit="false"/>
    </xf>
    <xf xfId="0" fontId="6" numFmtId="0" fillId="2" borderId="1" applyFont="1" applyNumberFormat="0" applyFill="0" applyBorder="1" applyAlignment="1">
      <alignment horizontal="left" vertical="center" textRotation="0" wrapText="false" shrinkToFit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3" applyFont="1" applyNumberFormat="0" applyFill="0" applyBorder="1" applyAlignment="1">
      <alignment horizontal="center" vertical="center" textRotation="0" wrapText="false" shrinkToFit="false"/>
    </xf>
    <xf xfId="0" fontId="24" numFmtId="175" fillId="2" borderId="3" applyFont="1" applyNumberFormat="1" applyFill="0" applyBorder="1" applyAlignment="1">
      <alignment horizontal="general" vertical="center" textRotation="0" wrapText="false" shrinkToFit="false"/>
    </xf>
    <xf xfId="0" fontId="24" numFmtId="175" fillId="2" borderId="1" applyFont="1" applyNumberFormat="1" applyFill="0" applyBorder="1" applyAlignment="1">
      <alignment horizontal="general" vertical="center" textRotation="0" wrapText="false" shrinkToFit="false"/>
    </xf>
    <xf xfId="0" fontId="15" numFmtId="0" fillId="2" borderId="0" applyFont="1" applyNumberFormat="0" applyFill="0" applyBorder="0" applyAlignment="1">
      <alignment horizontal="general" vertical="center" textRotation="0" wrapText="false" shrinkToFit="false"/>
    </xf>
    <xf xfId="0" fontId="7" numFmtId="168" fillId="2" borderId="2" applyFont="1" applyNumberFormat="1" applyFill="0" applyBorder="1" applyAlignment="1">
      <alignment horizontal="center" vertical="center" textRotation="0" wrapText="false" shrinkToFit="false"/>
    </xf>
    <xf xfId="0" fontId="51" numFmtId="168" fillId="2" borderId="0" applyFont="1" applyNumberFormat="1" applyFill="0" applyBorder="0" applyAlignment="1">
      <alignment horizontal="general" vertical="center" textRotation="0" wrapText="false" shrinkToFit="false"/>
    </xf>
    <xf xfId="0" fontId="52" numFmtId="168" fillId="2" borderId="0" applyFont="1" applyNumberFormat="1" applyFill="0" applyBorder="0" applyAlignment="1">
      <alignment horizontal="general" vertical="center" textRotation="0" wrapText="false" shrinkToFit="false"/>
    </xf>
    <xf xfId="0" fontId="52" numFmtId="0" fillId="2" borderId="0" applyFont="1" applyNumberFormat="0" applyFill="0" applyBorder="0" applyAlignment="1">
      <alignment horizontal="general" vertical="center" textRotation="0" wrapText="false" shrinkToFit="false"/>
    </xf>
    <xf xfId="0" fontId="53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175" fillId="2" borderId="0" applyFont="1" applyNumberFormat="1" applyFill="0" applyBorder="0" applyAlignment="1">
      <alignment horizontal="center" vertical="center" textRotation="0" wrapText="false" shrinkToFit="false"/>
    </xf>
    <xf xfId="0" fontId="54" numFmtId="168" fillId="2" borderId="0" applyFont="1" applyNumberFormat="1" applyFill="0" applyBorder="0" applyAlignment="1">
      <alignment horizontal="general" vertical="center" textRotation="0" wrapText="false" shrinkToFit="false"/>
    </xf>
    <xf xfId="0" fontId="53" numFmtId="168" fillId="2" borderId="0" applyFont="1" applyNumberFormat="1" applyFill="0" applyBorder="0" applyAlignment="1">
      <alignment horizontal="general" vertical="center" textRotation="0" wrapText="false" shrinkToFit="false"/>
    </xf>
    <xf xfId="0" fontId="5" numFmtId="169" fillId="2" borderId="0" applyFont="1" applyNumberFormat="1" applyFill="0" applyBorder="0" applyAlignment="1">
      <alignment horizontal="center" vertical="center" textRotation="0" wrapText="false" shrinkToFit="false"/>
    </xf>
    <xf xfId="0" fontId="5" numFmtId="169" fillId="2" borderId="2" applyFont="1" applyNumberFormat="1" applyFill="0" applyBorder="1" applyAlignment="1">
      <alignment horizontal="center" vertical="center" textRotation="0" wrapText="false" shrinkToFit="false"/>
    </xf>
    <xf xfId="0" fontId="5" numFmtId="169" fillId="2" borderId="2" applyFont="1" applyNumberFormat="1" applyFill="0" applyBorder="1" applyAlignment="1">
      <alignment horizontal="center" vertical="center" textRotation="0" wrapText="false" shrinkToFit="false"/>
    </xf>
    <xf xfId="0" fontId="8" numFmtId="169" fillId="2" borderId="0" applyFont="1" applyNumberFormat="1" applyFill="0" applyBorder="0" applyAlignment="1">
      <alignment horizontal="center" vertical="center" textRotation="0" wrapText="false" shrinkToFit="false"/>
    </xf>
    <xf xfId="0" fontId="8" numFmtId="169" fillId="2" borderId="2" applyFont="1" applyNumberFormat="1" applyFill="0" applyBorder="1" applyAlignment="1">
      <alignment horizontal="center" vertical="center" textRotation="0" wrapText="false" shrinkToFit="false"/>
    </xf>
    <xf xfId="0" fontId="8" numFmtId="169" fillId="2" borderId="2" applyFont="1" applyNumberFormat="1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5" numFmtId="0" fillId="2" borderId="3" applyFont="1" applyNumberFormat="0" applyFill="0" applyBorder="1" applyAlignment="1">
      <alignment horizontal="center" vertical="center" textRotation="0" wrapText="false" shrinkToFit="false"/>
    </xf>
    <xf xfId="0" fontId="24" numFmtId="175" fillId="2" borderId="3" applyFont="1" applyNumberFormat="1" applyFill="0" applyBorder="1" applyAlignment="1">
      <alignment horizontal="center" vertical="center" textRotation="0" wrapText="false" shrinkToFit="false"/>
    </xf>
    <xf xfId="0" fontId="24" numFmtId="175" fillId="2" borderId="4" applyFont="1" applyNumberFormat="1" applyFill="0" applyBorder="1" applyAlignment="1">
      <alignment horizontal="center" vertical="center" textRotation="0" wrapText="false" shrinkToFit="false"/>
    </xf>
    <xf xfId="0" fontId="8" numFmtId="169" fillId="2" borderId="0" applyFont="1" applyNumberFormat="1" applyFill="0" applyBorder="0" applyAlignment="1">
      <alignment horizontal="general" vertical="center" textRotation="0" wrapText="false" shrinkToFit="false"/>
    </xf>
    <xf xfId="0" fontId="8" numFmtId="169" fillId="2" borderId="2" applyFont="1" applyNumberFormat="1" applyFill="0" applyBorder="1" applyAlignment="1">
      <alignment horizontal="general" vertical="center" textRotation="0" wrapText="false" shrinkToFit="false"/>
    </xf>
    <xf xfId="0" fontId="34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168" fillId="2" borderId="2" applyFont="1" applyNumberFormat="1" applyFill="0" applyBorder="1" applyAlignment="1">
      <alignment horizontal="left" vertical="center" textRotation="0" wrapText="false" shrinkToFit="false"/>
    </xf>
    <xf xfId="0" fontId="5" numFmtId="168" fillId="2" borderId="0" applyFont="1" applyNumberFormat="1" applyFill="0" applyBorder="0" applyAlignment="1">
      <alignment horizontal="center" vertical="center" textRotation="0" wrapText="false" shrinkToFit="false"/>
    </xf>
    <xf xfId="0" fontId="8" numFmtId="168" fillId="2" borderId="0" applyFont="1" applyNumberFormat="1" applyFill="0" applyBorder="0" applyAlignment="1">
      <alignment horizontal="center" vertical="center" textRotation="0" wrapText="false" shrinkToFit="false"/>
    </xf>
    <xf xfId="0" fontId="29" numFmtId="0" fillId="2" borderId="0" applyFont="1" applyNumberFormat="0" applyFill="0" applyBorder="0" applyAlignment="1">
      <alignment horizontal="general" vertical="center" textRotation="0" wrapText="true" shrinkToFit="false"/>
    </xf>
    <xf xfId="0" fontId="5" numFmtId="0" fillId="2" borderId="0" applyFont="1" applyNumberFormat="0" applyFill="0" applyBorder="0" applyAlignment="1">
      <alignment horizontal="general" vertical="center" textRotation="0" wrapText="true" shrinkToFit="false"/>
    </xf>
    <xf xfId="0" fontId="5" numFmtId="0" fillId="2" borderId="2" applyFont="1" applyNumberFormat="0" applyFill="0" applyBorder="1" applyAlignment="1">
      <alignment horizontal="center" vertical="center" textRotation="0" wrapText="true" shrinkToFit="false"/>
    </xf>
    <xf xfId="0" fontId="5" numFmtId="168" fillId="2" borderId="2" applyFont="1" applyNumberFormat="1" applyFill="0" applyBorder="1" applyAlignment="1">
      <alignment horizontal="center" vertical="center" textRotation="0" wrapText="true" shrinkToFit="false"/>
    </xf>
    <xf xfId="0" fontId="5" numFmtId="168" fillId="2" borderId="2" applyFont="1" applyNumberFormat="1" applyFill="0" applyBorder="1" applyAlignment="1">
      <alignment horizontal="general" vertical="center" textRotation="0" wrapText="true" shrinkToFit="false"/>
    </xf>
    <xf xfId="0" fontId="5" numFmtId="168" fillId="2" borderId="0" applyFont="1" applyNumberFormat="1" applyFill="0" applyBorder="0" applyAlignment="1">
      <alignment horizontal="general" vertical="center" textRotation="0" wrapText="true" shrinkToFit="false"/>
    </xf>
    <xf xfId="0" fontId="5" numFmtId="168" fillId="2" borderId="0" applyFont="1" applyNumberFormat="1" applyFill="0" applyBorder="0" applyAlignment="1">
      <alignment horizontal="general" vertical="center" textRotation="0" wrapText="true" shrinkToFit="false"/>
    </xf>
    <xf xfId="0" fontId="29" numFmtId="168" fillId="2" borderId="0" applyFont="1" applyNumberFormat="1" applyFill="0" applyBorder="0" applyAlignment="1">
      <alignment horizontal="general" vertical="center" textRotation="0" wrapText="true" shrinkToFit="false"/>
    </xf>
    <xf xfId="0" fontId="8" numFmtId="168" fillId="2" borderId="0" applyFont="1" applyNumberFormat="1" applyFill="0" applyBorder="0" applyAlignment="1">
      <alignment horizontal="general" vertical="center" textRotation="0" wrapText="true" shrinkToFit="false"/>
    </xf>
    <xf xfId="0" fontId="8" numFmtId="168" fillId="2" borderId="2" applyFont="1" applyNumberFormat="1" applyFill="0" applyBorder="1" applyAlignment="1">
      <alignment horizontal="center" vertical="center" textRotation="0" wrapText="false" shrinkToFit="false"/>
    </xf>
    <xf xfId="0" fontId="6" numFmtId="0" fillId="2" borderId="6" applyFont="1" applyNumberFormat="0" applyFill="0" applyBorder="1" applyAlignment="1">
      <alignment horizontal="general" vertical="center" textRotation="0" wrapText="false" shrinkToFit="false"/>
    </xf>
    <xf xfId="0" fontId="5" numFmtId="0" fillId="2" borderId="6" applyFont="1" applyNumberFormat="0" applyFill="0" applyBorder="1" applyAlignment="1">
      <alignment horizontal="general" vertical="center" textRotation="0" wrapText="false" shrinkToFit="false"/>
    </xf>
    <xf xfId="0" fontId="5" numFmtId="0" fillId="2" borderId="6" applyFont="1" applyNumberFormat="0" applyFill="0" applyBorder="1" applyAlignment="1">
      <alignment horizontal="center" vertical="center" textRotation="0" wrapText="false" shrinkToFit="false"/>
    </xf>
    <xf xfId="0" fontId="24" numFmtId="175" fillId="2" borderId="6" applyFont="1" applyNumberFormat="1" applyFill="0" applyBorder="1" applyAlignment="1">
      <alignment horizontal="center" vertical="center" textRotation="0" wrapText="false" shrinkToFit="false"/>
    </xf>
    <xf xfId="0" fontId="5" numFmtId="169" fillId="2" borderId="2" applyFont="1" applyNumberFormat="1" applyFill="0" applyBorder="1" applyAlignment="1">
      <alignment horizontal="general" vertical="center" textRotation="0" wrapText="false" shrinkToFit="false"/>
    </xf>
    <xf xfId="0" fontId="5" numFmtId="169" fillId="2" borderId="0" applyFont="1" applyNumberFormat="1" applyFill="0" applyBorder="0" applyAlignment="1">
      <alignment horizontal="general" vertical="center" textRotation="0" wrapText="false" shrinkToFit="false"/>
    </xf>
    <xf xfId="0" fontId="17" numFmtId="166" fillId="2" borderId="0" applyFont="1" applyNumberFormat="1" applyFill="0" applyBorder="0" applyAlignment="1">
      <alignment horizontal="general" vertical="center" textRotation="0" wrapText="false" shrinkToFit="false"/>
    </xf>
    <xf xfId="0" fontId="19" numFmtId="166" fillId="2" borderId="0" applyFont="1" applyNumberFormat="1" applyFill="0" applyBorder="0" applyAlignment="1">
      <alignment horizontal="general" vertical="center" textRotation="0" wrapText="false" shrinkToFit="false"/>
    </xf>
    <xf xfId="0" fontId="6" numFmtId="0" fillId="2" borderId="0" applyFont="1" applyNumberFormat="0" applyFill="0" applyBorder="0" applyAlignment="1">
      <alignment horizontal="general" vertical="center" textRotation="0" wrapText="false" shrinkToFit="false"/>
    </xf>
    <xf xfId="0" fontId="55" numFmtId="0" fillId="2" borderId="0" applyFont="1" applyNumberFormat="0" applyFill="0" applyBorder="0" applyAlignment="1">
      <alignment horizontal="general" vertical="center" textRotation="0" wrapText="false" shrinkToFit="false"/>
    </xf>
    <xf xfId="0" fontId="55" numFmtId="0" fillId="2" borderId="0" applyFont="1" applyNumberFormat="0" applyFill="0" applyBorder="0" applyAlignment="1">
      <alignment horizontal="left" vertical="center" textRotation="0" wrapText="false" shrinkToFit="false"/>
    </xf>
    <xf xfId="0" fontId="56" numFmtId="168" fillId="2" borderId="0" applyFont="1" applyNumberFormat="1" applyFill="0" applyBorder="0" applyAlignment="1">
      <alignment horizontal="center" vertical="center" textRotation="0" wrapText="false" shrinkToFit="false"/>
    </xf>
    <xf xfId="0" fontId="43" numFmtId="0" fillId="2" borderId="2" applyFont="1" applyNumberFormat="0" applyFill="0" applyBorder="1" applyAlignment="1">
      <alignment horizontal="center" vertical="center" textRotation="0" wrapText="false" shrinkToFit="false"/>
    </xf>
    <xf xfId="0" fontId="24" numFmtId="176" fillId="2" borderId="2" applyFont="1" applyNumberFormat="1" applyFill="0" applyBorder="1" applyAlignment="1">
      <alignment horizontal="center" vertical="center" textRotation="0" wrapText="false" shrinkToFit="false"/>
    </xf>
    <xf xfId="0" fontId="24" numFmtId="176" fillId="2" borderId="7" applyFont="1" applyNumberFormat="1" applyFill="0" applyBorder="1" applyAlignment="1">
      <alignment horizontal="center" vertical="center" textRotation="0" wrapText="false" shrinkToFit="false"/>
    </xf>
    <xf xfId="0" fontId="43" numFmtId="168" fillId="2" borderId="0" applyFont="1" applyNumberFormat="1" applyFill="0" applyBorder="0" applyAlignment="1">
      <alignment horizontal="general" vertical="center" textRotation="0" wrapText="false" shrinkToFit="false"/>
    </xf>
    <xf xfId="0" fontId="57" numFmtId="168" fillId="2" borderId="0" applyFont="1" applyNumberFormat="1" applyFill="0" applyBorder="0" applyAlignment="1">
      <alignment horizontal="general" vertical="center" textRotation="0" wrapText="false" shrinkToFit="false"/>
    </xf>
    <xf xfId="0" fontId="57" numFmtId="0" fillId="2" borderId="0" applyFont="1" applyNumberFormat="0" applyFill="0" applyBorder="0" applyAlignment="1">
      <alignment horizontal="general" vertical="center" textRotation="0" wrapText="false" shrinkToFit="false"/>
    </xf>
    <xf xfId="0" fontId="24" numFmtId="175" fillId="2" borderId="2" applyFont="1" applyNumberFormat="1" applyFill="0" applyBorder="1" applyAlignment="1">
      <alignment horizontal="center" vertical="center" textRotation="0" wrapText="false" shrinkToFit="false"/>
    </xf>
    <xf xfId="0" fontId="24" numFmtId="175" fillId="2" borderId="7" applyFont="1" applyNumberFormat="1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58" numFmtId="0" fillId="2" borderId="1" applyFont="1" applyNumberFormat="0" applyFill="0" applyBorder="1" applyAlignment="1">
      <alignment horizontal="center" vertical="center" textRotation="0" wrapText="false" shrinkToFit="false"/>
    </xf>
    <xf xfId="0" fontId="43" numFmtId="0" fillId="2" borderId="3" applyFont="1" applyNumberFormat="0" applyFill="0" applyBorder="1" applyAlignment="1">
      <alignment horizontal="center" vertical="center" textRotation="0" wrapText="false" shrinkToFit="false"/>
    </xf>
    <xf xfId="0" fontId="24" numFmtId="175" fillId="2" borderId="3" applyFont="1" applyNumberFormat="1" applyFill="0" applyBorder="1" applyAlignment="1">
      <alignment horizontal="center" vertical="center" textRotation="0" wrapText="false" shrinkToFit="false"/>
    </xf>
    <xf xfId="0" fontId="24" numFmtId="175" fillId="2" borderId="4" applyFont="1" applyNumberFormat="1" applyFill="0" applyBorder="1" applyAlignment="1">
      <alignment horizontal="center" vertical="center" textRotation="0" wrapText="false" shrinkToFit="false"/>
    </xf>
    <xf xfId="0" fontId="43" numFmtId="168" fillId="2" borderId="0" applyFont="1" applyNumberFormat="1" applyFill="0" applyBorder="0" applyAlignment="1">
      <alignment horizontal="general" vertical="center" textRotation="0" wrapText="false" shrinkToFit="false"/>
    </xf>
    <xf xfId="0" fontId="57" numFmtId="168" fillId="2" borderId="0" applyFont="1" applyNumberFormat="1" applyFill="0" applyBorder="0" applyAlignment="1">
      <alignment horizontal="general" vertical="center" textRotation="0" wrapText="false" shrinkToFit="false"/>
    </xf>
    <xf xfId="0" fontId="57" numFmtId="0" fillId="2" borderId="0" applyFont="1" applyNumberFormat="0" applyFill="0" applyBorder="0" applyAlignment="1">
      <alignment horizontal="general" vertical="center" textRotation="0" wrapText="false" shrinkToFit="false"/>
    </xf>
    <xf xfId="0" fontId="15" numFmtId="0" fillId="2" borderId="0" applyFont="1" applyNumberFormat="0" applyFill="0" applyBorder="0" applyAlignment="1">
      <alignment horizontal="left" vertical="center" textRotation="0" wrapText="false" shrinkToFit="false"/>
    </xf>
    <xf xfId="0" fontId="59" numFmtId="0" fillId="2" borderId="0" applyFont="1" applyNumberFormat="0" applyFill="0" applyBorder="0" applyAlignment="1">
      <alignment horizontal="center" vertical="center" textRotation="0" wrapText="false" shrinkToFit="false"/>
    </xf>
    <xf xfId="0" fontId="34" numFmtId="0" fillId="2" borderId="2" applyFont="1" applyNumberFormat="0" applyFill="0" applyBorder="1" applyAlignment="1">
      <alignment horizontal="center" vertical="center" textRotation="0" wrapText="false" shrinkToFit="false"/>
    </xf>
    <xf xfId="0" fontId="6" numFmtId="0" fillId="2" borderId="0" applyFont="1" applyNumberFormat="0" applyFill="0" applyBorder="0" applyAlignment="1">
      <alignment horizontal="general" vertical="center" textRotation="0" wrapText="false" shrinkToFit="false"/>
    </xf>
    <xf xfId="0" fontId="43" numFmtId="0" fillId="2" borderId="2" applyFont="1" applyNumberFormat="0" applyFill="0" applyBorder="1" applyAlignment="1">
      <alignment horizontal="center" vertical="center" textRotation="0" wrapText="false" shrinkToFit="false"/>
    </xf>
    <xf xfId="0" fontId="24" numFmtId="175" fillId="2" borderId="2" applyFont="1" applyNumberFormat="1" applyFill="0" applyBorder="1" applyAlignment="1">
      <alignment horizontal="center" vertical="center" textRotation="0" wrapText="false" shrinkToFit="false"/>
    </xf>
    <xf xfId="0" fontId="24" numFmtId="175" fillId="2" borderId="7" applyFont="1" applyNumberFormat="1" applyFill="0" applyBorder="1" applyAlignment="1">
      <alignment horizontal="center" vertical="center" textRotation="0" wrapText="false" shrinkToFit="false"/>
    </xf>
    <xf xfId="0" fontId="43" numFmtId="0" fillId="2" borderId="0" applyFont="1" applyNumberFormat="0" applyFill="0" applyBorder="0" applyAlignment="1">
      <alignment horizontal="general" vertical="center" textRotation="0" wrapText="false" shrinkToFit="false"/>
    </xf>
    <xf xfId="0" fontId="43" numFmtId="0" fillId="2" borderId="0" applyFont="1" applyNumberFormat="0" applyFill="0" applyBorder="0" applyAlignment="1">
      <alignment horizontal="center" vertical="center" textRotation="0" wrapText="false" shrinkToFit="false"/>
    </xf>
    <xf xfId="0" fontId="44" numFmtId="164" fillId="2" borderId="2" applyFont="1" applyNumberFormat="1" applyFill="0" applyBorder="1" applyAlignment="1">
      <alignment horizontal="center" vertical="center" textRotation="0" wrapText="false" shrinkToFit="false"/>
    </xf>
    <xf xfId="0" fontId="44" numFmtId="164" fillId="2" borderId="0" applyFont="1" applyNumberFormat="1" applyFill="0" applyBorder="0" applyAlignment="1">
      <alignment horizontal="center" vertical="center" textRotation="0" wrapText="false" shrinkToFit="false"/>
    </xf>
    <xf xfId="0" fontId="45" numFmtId="175" fillId="2" borderId="3" applyFont="1" applyNumberFormat="1" applyFill="0" applyBorder="1" applyAlignment="1">
      <alignment horizontal="general" vertical="center" textRotation="0" wrapText="false" shrinkToFit="false"/>
    </xf>
    <xf xfId="0" fontId="45" numFmtId="175" fillId="2" borderId="4" applyFont="1" applyNumberFormat="1" applyFill="0" applyBorder="1" applyAlignment="1">
      <alignment horizontal="general" vertical="center" textRotation="0" wrapText="false" shrinkToFit="false"/>
    </xf>
    <xf xfId="0" fontId="7" numFmtId="168" fillId="2" borderId="0" applyFont="1" applyNumberFormat="1" applyFill="0" applyBorder="0" applyAlignment="1">
      <alignment horizontal="general" vertical="center" textRotation="0" wrapText="false" shrinkToFit="false"/>
    </xf>
    <xf xfId="0" fontId="6" numFmtId="168" fillId="2" borderId="0" applyFont="1" applyNumberFormat="1" applyFill="0" applyBorder="0" applyAlignment="1">
      <alignment horizontal="general" vertical="center" textRotation="0" wrapText="false" shrinkToFit="false"/>
    </xf>
    <xf xfId="0" fontId="44" numFmtId="164" fillId="2" borderId="0" applyFont="1" applyNumberFormat="1" applyFill="0" applyBorder="0" applyAlignment="1">
      <alignment horizontal="left" vertical="bottom" textRotation="0" wrapText="false" shrinkToFit="false"/>
    </xf>
    <xf xfId="0" fontId="5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168" fillId="2" borderId="0" applyFont="1" applyNumberFormat="1" applyFill="0" applyBorder="0" applyAlignment="1">
      <alignment horizontal="left" vertical="bottom" textRotation="0" wrapText="false" shrinkToFit="false"/>
    </xf>
    <xf xfId="0" fontId="5" numFmtId="168" fillId="2" borderId="0" applyFont="1" applyNumberFormat="1" applyFill="0" applyBorder="0" applyAlignment="1">
      <alignment horizontal="center" vertical="bottom" textRotation="0" wrapText="false" shrinkToFit="false"/>
    </xf>
    <xf xfId="0" fontId="5" numFmtId="168" fillId="2" borderId="0" applyFont="1" applyNumberFormat="1" applyFill="0" applyBorder="0" applyAlignment="1">
      <alignment horizontal="right" vertical="bottom" textRotation="0" wrapText="false" shrinkToFit="false"/>
    </xf>
    <xf xfId="0" fontId="8" numFmtId="164" fillId="2" borderId="0" applyFont="1" applyNumberFormat="1" applyFill="0" applyBorder="0" applyAlignment="1">
      <alignment horizontal="left" vertical="bottom" textRotation="0" wrapText="false" shrinkToFit="false"/>
    </xf>
    <xf xfId="0" fontId="34" numFmtId="164" fillId="2" borderId="0" applyFont="1" applyNumberFormat="1" applyFill="0" applyBorder="0" applyAlignment="1">
      <alignment horizontal="left" vertical="bottom" textRotation="0" wrapText="false" shrinkToFit="false"/>
    </xf>
    <xf xfId="0" fontId="5" numFmtId="171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43" numFmtId="0" fillId="2" borderId="0" applyFont="1" applyNumberFormat="0" applyFill="0" applyBorder="0" applyAlignment="1">
      <alignment horizontal="left" vertical="center" textRotation="0" wrapText="false" shrinkToFit="false"/>
    </xf>
    <xf xfId="0" fontId="44" numFmtId="175" fillId="2" borderId="0" applyFont="1" applyNumberFormat="1" applyFill="0" applyBorder="0" applyAlignment="1">
      <alignment horizontal="general" vertical="center" textRotation="0" wrapText="false" shrinkToFit="false"/>
    </xf>
    <xf xfId="0" fontId="60" numFmtId="168" fillId="2" borderId="0" applyFont="1" applyNumberFormat="1" applyFill="0" applyBorder="0" applyAlignment="1">
      <alignment horizontal="general" vertical="center" textRotation="0" wrapText="false" shrinkToFit="false"/>
    </xf>
    <xf xfId="0" fontId="60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0" numFmtId="168" fillId="2" borderId="0" applyFont="0" applyNumberFormat="1" applyFill="0" applyBorder="0" applyAlignment="1">
      <alignment horizontal="general" vertical="center" textRotation="0" wrapText="false" shrinkToFit="false"/>
    </xf>
    <xf xfId="0" fontId="0" numFmtId="168" fillId="2" borderId="0" applyFont="0" applyNumberFormat="1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11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14" fillId="2" borderId="2" applyFont="1" applyNumberFormat="1" applyFill="0" applyBorder="1" applyAlignment="0">
      <alignment horizontal="general" vertical="bottom" textRotation="0" wrapText="false" shrinkToFit="false"/>
    </xf>
    <xf xfId="0" fontId="61" numFmtId="0" fillId="2" borderId="2" applyFont="1" applyNumberFormat="0" applyFill="0" applyBorder="1" applyAlignment="0">
      <alignment horizontal="general" vertical="bottom" textRotation="0" wrapText="false" shrinkToFit="false"/>
    </xf>
    <xf xfId="0" fontId="4" numFmtId="168" fillId="2" borderId="7" applyFont="1" applyNumberFormat="1" applyFill="0" applyBorder="1" applyAlignment="0">
      <alignment horizontal="general" vertical="bottom" textRotation="0" wrapText="false" shrinkToFit="false"/>
    </xf>
    <xf xfId="0" fontId="5" numFmtId="168" fillId="2" borderId="0" applyFont="1" applyNumberFormat="1" applyFill="0" applyBorder="0" applyAlignment="0">
      <alignment horizontal="general" vertical="bottom" textRotation="0" wrapText="false" shrinkToFit="false"/>
    </xf>
    <xf xfId="0" fontId="62" numFmtId="168" fillId="2" borderId="0" applyFont="1" applyNumberFormat="1" applyFill="0" applyBorder="0" applyAlignment="0">
      <alignment horizontal="general" vertical="bottom" textRotation="0" wrapText="false" shrinkToFit="false"/>
    </xf>
    <xf xfId="0" fontId="62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2" applyFont="1" applyNumberFormat="0" applyFill="0" applyBorder="1" applyAlignment="0">
      <alignment horizontal="general" vertical="bottom" textRotation="0" wrapText="false" shrinkToFit="false"/>
    </xf>
    <xf xfId="0" fontId="5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178" fillId="2" borderId="2" applyFont="1" applyNumberFormat="1" applyFill="0" applyBorder="1" applyAlignment="0">
      <alignment horizontal="general" vertical="bottom" textRotation="0" wrapText="false" shrinkToFit="false"/>
    </xf>
    <xf xfId="0" fontId="5" numFmtId="178" fillId="2" borderId="7" applyFont="1" applyNumberFormat="1" applyFill="0" applyBorder="1" applyAlignment="0">
      <alignment horizontal="general" vertical="bottom" textRotation="0" wrapText="false" shrinkToFit="false"/>
    </xf>
    <xf xfId="0" fontId="2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168" fillId="2" borderId="2" applyFont="1" applyNumberFormat="1" applyFill="0" applyBorder="1" applyAlignment="0">
      <alignment horizontal="general" vertical="bottom" textRotation="0" wrapText="false" shrinkToFit="false"/>
    </xf>
    <xf xfId="0" fontId="5" numFmtId="168" fillId="2" borderId="7" applyFont="1" applyNumberFormat="1" applyFill="0" applyBorder="1" applyAlignment="0">
      <alignment horizontal="general" vertical="bottom" textRotation="0" wrapText="false" shrinkToFit="false"/>
    </xf>
    <xf xfId="0" fontId="17" numFmtId="168" fillId="2" borderId="0" applyFont="1" applyNumberFormat="1" applyFill="0" applyBorder="0" applyAlignment="0">
      <alignment horizontal="general" vertical="bottom" textRotation="0" wrapText="false" shrinkToFit="false"/>
    </xf>
    <xf xfId="0" fontId="8" numFmtId="168" fillId="2" borderId="0" applyFont="1" applyNumberFormat="1" applyFill="0" applyBorder="0" applyAlignment="0">
      <alignment horizontal="general" vertical="bottom" textRotation="0" wrapText="false" shrinkToFit="false"/>
    </xf>
    <xf xfId="0" fontId="8" numFmtId="168" fillId="2" borderId="2" applyFont="1" applyNumberFormat="1" applyFill="0" applyBorder="1" applyAlignment="0">
      <alignment horizontal="general" vertical="bottom" textRotation="0" wrapText="false" shrinkToFit="false"/>
    </xf>
    <xf xfId="0" fontId="8" numFmtId="168" fillId="2" borderId="7" applyFont="1" applyNumberFormat="1" applyFill="0" applyBorder="1" applyAlignment="0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bottom" textRotation="0" wrapText="false" shrinkToFit="false"/>
    </xf>
    <xf xfId="0" fontId="6" numFmtId="168" fillId="2" borderId="1" applyFont="1" applyNumberFormat="1" applyFill="0" applyBorder="1" applyAlignment="0">
      <alignment horizontal="general" vertical="bottom" textRotation="0" wrapText="false" shrinkToFit="false"/>
    </xf>
    <xf xfId="0" fontId="6" numFmtId="0" fillId="2" borderId="3" applyFont="1" applyNumberFormat="0" applyFill="0" applyBorder="1" applyAlignment="1">
      <alignment horizontal="center" vertical="bottom" textRotation="0" wrapText="false" shrinkToFit="false"/>
    </xf>
    <xf xfId="0" fontId="24" numFmtId="164" fillId="2" borderId="3" applyFont="1" applyNumberFormat="1" applyFill="0" applyBorder="1" applyAlignment="0">
      <alignment horizontal="general" vertical="bottom" textRotation="0" wrapText="false" shrinkToFit="false"/>
    </xf>
    <xf xfId="0" fontId="24" numFmtId="164" fillId="2" borderId="4" applyFont="1" applyNumberFormat="1" applyFill="0" applyBorder="1" applyAlignment="0">
      <alignment horizontal="general" vertical="bottom" textRotation="0" wrapText="false" shrinkToFit="false"/>
    </xf>
    <xf xfId="0" fontId="7" numFmtId="168" fillId="2" borderId="0" applyFont="1" applyNumberFormat="1" applyFill="0" applyBorder="0" applyAlignment="0">
      <alignment horizontal="general" vertical="bottom" textRotation="0" wrapText="false" shrinkToFit="false"/>
    </xf>
    <xf xfId="0" fontId="14" numFmtId="168" fillId="2" borderId="0" applyFont="1" applyNumberFormat="1" applyFill="0" applyBorder="0" applyAlignment="0">
      <alignment horizontal="general" vertical="bottom" textRotation="0" wrapText="false" shrinkToFit="false"/>
    </xf>
    <xf xfId="0" fontId="14" numFmtId="0" fillId="2" borderId="0" applyFont="1" applyNumberFormat="0" applyFill="0" applyBorder="0" applyAlignment="0">
      <alignment horizontal="general" vertical="bottom" textRotation="0" wrapText="false" shrinkToFit="false"/>
    </xf>
    <xf xfId="0" fontId="29" numFmtId="0" fillId="2" borderId="2" applyFont="1" applyNumberFormat="0" applyFill="0" applyBorder="1" applyAlignment="0">
      <alignment horizontal="general" vertical="bottom" textRotation="0" wrapText="false" shrinkToFit="false"/>
    </xf>
    <xf xfId="0" fontId="0" numFmtId="168" fillId="2" borderId="7" applyFont="0" applyNumberFormat="1" applyFill="0" applyBorder="1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5" numFmtId="179" fillId="2" borderId="2" applyFont="1" applyNumberFormat="1" applyFill="0" applyBorder="1" applyAlignment="0">
      <alignment horizontal="general" vertical="bottom" textRotation="0" wrapText="false" shrinkToFit="false"/>
    </xf>
    <xf xfId="0" fontId="5" numFmtId="179" fillId="2" borderId="7" applyFont="1" applyNumberFormat="1" applyFill="0" applyBorder="1" applyAlignment="0">
      <alignment horizontal="general" vertical="bottom" textRotation="0" wrapText="false" shrinkToFit="false"/>
    </xf>
    <xf xfId="0" fontId="8" numFmtId="168" fillId="2" borderId="0" applyFont="1" applyNumberFormat="1" applyFill="0" applyBorder="0" applyAlignment="0">
      <alignment horizontal="general" vertical="bottom" textRotation="0" wrapText="false" shrinkToFit="false"/>
    </xf>
    <xf xfId="0" fontId="8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180" fillId="2" borderId="0" applyFont="1" applyNumberFormat="1" applyFill="0" applyBorder="0" applyAlignment="0">
      <alignment horizontal="general" vertical="bottom" textRotation="0" wrapText="false" shrinkToFit="false"/>
    </xf>
    <xf xfId="0" fontId="5" numFmtId="0" fillId="2" borderId="8" applyFont="1" applyNumberFormat="0" applyFill="0" applyBorder="1" applyAlignment="1">
      <alignment horizontal="general" vertical="center" textRotation="0" wrapText="false" shrinkToFit="false"/>
    </xf>
    <xf xfId="0" fontId="5" numFmtId="168" fillId="2" borderId="2" applyFont="1" applyNumberFormat="1" applyFill="0" applyBorder="1" applyAlignment="0">
      <alignment horizontal="general" vertical="bottom" textRotation="0" wrapText="false" shrinkToFit="false"/>
    </xf>
    <xf xfId="0" fontId="5" numFmtId="168" fillId="2" borderId="7" applyFont="1" applyNumberFormat="1" applyFill="0" applyBorder="1" applyAlignment="0">
      <alignment horizontal="general" vertical="bottom" textRotation="0" wrapText="false" shrinkToFit="false"/>
    </xf>
    <xf xfId="0" fontId="63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168" fillId="2" borderId="2" applyFont="1" applyNumberFormat="1" applyFill="0" applyBorder="1" applyAlignment="0">
      <alignment horizontal="general" vertical="bottom" textRotation="0" wrapText="false" shrinkToFit="false"/>
    </xf>
    <xf xfId="0" fontId="8" numFmtId="168" fillId="2" borderId="7" applyFont="1" applyNumberFormat="1" applyFill="0" applyBorder="1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bottom" textRotation="0" wrapText="false" shrinkToFit="false"/>
    </xf>
    <xf xfId="0" fontId="43" numFmtId="168" fillId="2" borderId="0" applyFont="1" applyNumberFormat="1" applyFill="0" applyBorder="0" applyAlignment="0">
      <alignment horizontal="general" vertical="bottom" textRotation="0" wrapText="false" shrinkToFit="false"/>
    </xf>
    <xf xfId="0" fontId="24" numFmtId="175" fillId="2" borderId="2" applyFont="1" applyNumberFormat="1" applyFill="0" applyBorder="1" applyAlignment="1">
      <alignment horizontal="center" vertical="bottom" textRotation="0" wrapText="false" shrinkToFit="false"/>
    </xf>
    <xf xfId="0" fontId="24" numFmtId="175" fillId="2" borderId="7" applyFont="1" applyNumberFormat="1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17" numFmtId="0" fillId="2" borderId="1" applyFont="1" applyNumberFormat="0" applyFill="0" applyBorder="1" applyAlignment="1">
      <alignment horizontal="left" vertical="bottom" textRotation="0" wrapText="false" shrinkToFit="false" indent="2"/>
    </xf>
    <xf xfId="0" fontId="8" numFmtId="168" fillId="2" borderId="1" applyFont="1" applyNumberFormat="1" applyFill="0" applyBorder="1" applyAlignment="0">
      <alignment horizontal="general" vertical="bottom" textRotation="0" wrapText="false" shrinkToFit="false"/>
    </xf>
    <xf xfId="0" fontId="5" numFmtId="49" fillId="2" borderId="3" applyFont="1" applyNumberFormat="1" applyFill="0" applyBorder="1" applyAlignment="1">
      <alignment horizontal="center" vertical="bottom" textRotation="0" wrapText="false" shrinkToFit="false"/>
    </xf>
    <xf xfId="0" fontId="5" numFmtId="168" fillId="2" borderId="3" applyFont="1" applyNumberFormat="1" applyFill="0" applyBorder="1" applyAlignment="0">
      <alignment horizontal="general" vertical="bottom" textRotation="0" wrapText="false" shrinkToFit="false"/>
    </xf>
    <xf xfId="0" fontId="5" numFmtId="168" fillId="2" borderId="4" applyFont="1" applyNumberFormat="1" applyFill="0" applyBorder="1" applyAlignment="0">
      <alignment horizontal="general" vertical="bottom" textRotation="0" wrapText="false" shrinkToFit="false"/>
    </xf>
    <xf xfId="0" fontId="45" numFmtId="175" fillId="2" borderId="3" applyFont="1" applyNumberFormat="1" applyFill="0" applyBorder="1" applyAlignment="0">
      <alignment horizontal="general" vertical="bottom" textRotation="0" wrapText="false" shrinkToFit="false"/>
    </xf>
    <xf xfId="0" fontId="45" numFmtId="175" fillId="2" borderId="4" applyFont="1" applyNumberFormat="1" applyFill="0" applyBorder="1" applyAlignment="0">
      <alignment horizontal="general" vertical="bottom" textRotation="0" wrapText="false" shrinkToFit="false"/>
    </xf>
    <xf xfId="0" fontId="7" numFmtId="168" fillId="2" borderId="0" applyFont="1" applyNumberFormat="1" applyFill="0" applyBorder="0" applyAlignment="0">
      <alignment horizontal="general" vertical="bottom" textRotation="0" wrapText="false" shrinkToFit="false"/>
    </xf>
    <xf xfId="0" fontId="24" numFmtId="164" fillId="2" borderId="2" applyFont="1" applyNumberFormat="1" applyFill="0" applyBorder="1" applyAlignment="1">
      <alignment horizontal="center" vertical="bottom" textRotation="0" wrapText="false" shrinkToFit="false"/>
    </xf>
    <xf xfId="0" fontId="24" numFmtId="164" fillId="2" borderId="7" applyFont="1" applyNumberFormat="1" applyFill="0" applyBorder="1" applyAlignment="1">
      <alignment horizontal="center" vertical="bottom" textRotation="0" wrapText="false" shrinkToFit="false"/>
    </xf>
    <xf xfId="0" fontId="11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5" numFmtId="175" fillId="2" borderId="2" applyFont="1" applyNumberFormat="1" applyFill="0" applyBorder="1" applyAlignment="1">
      <alignment horizontal="center" vertical="bottom" textRotation="0" wrapText="false" shrinkToFit="false"/>
    </xf>
    <xf xfId="0" fontId="5" numFmtId="175" fillId="2" borderId="7" applyFont="1" applyNumberFormat="1" applyFill="0" applyBorder="1" applyAlignment="1">
      <alignment horizontal="center" vertical="bottom" textRotation="0" wrapText="false" shrinkToFit="false"/>
    </xf>
    <xf xfId="0" fontId="6" numFmtId="168" fillId="2" borderId="0" applyFont="1" applyNumberFormat="1" applyFill="0" applyBorder="0" applyAlignment="0">
      <alignment horizontal="general" vertical="bottom" textRotation="0" wrapText="false" shrinkToFit="false"/>
    </xf>
    <xf xfId="0" fontId="45" numFmtId="175" fillId="2" borderId="2" applyFont="1" applyNumberFormat="1" applyFill="0" applyBorder="1" applyAlignment="0">
      <alignment horizontal="general" vertical="bottom" textRotation="0" wrapText="false" shrinkToFit="false"/>
    </xf>
    <xf xfId="0" fontId="45" numFmtId="181" fillId="2" borderId="7" applyFont="1" applyNumberFormat="1" applyFill="0" applyBorder="1" applyAlignment="0">
      <alignment horizontal="general" vertical="bottom" textRotation="0" wrapText="false" shrinkToFit="false"/>
    </xf>
    <xf xfId="0" fontId="5" numFmtId="168" fillId="2" borderId="2" applyFont="1" applyNumberFormat="1" applyFill="0" applyBorder="1" applyAlignment="1">
      <alignment horizontal="center" vertical="bottom" textRotation="0" wrapText="false" shrinkToFit="false"/>
    </xf>
    <xf xfId="0" fontId="5" numFmtId="168" fillId="2" borderId="7" applyFont="1" applyNumberFormat="1" applyFill="0" applyBorder="1" applyAlignment="1">
      <alignment horizontal="center" vertical="bottom" textRotation="0" wrapText="false" shrinkToFit="false"/>
    </xf>
    <xf xfId="0" fontId="8" numFmtId="168" fillId="2" borderId="2" applyFont="1" applyNumberFormat="1" applyFill="0" applyBorder="1" applyAlignment="1">
      <alignment horizontal="center" vertical="bottom" textRotation="0" wrapText="false" shrinkToFit="false"/>
    </xf>
    <xf xfId="0" fontId="8" numFmtId="168" fillId="2" borderId="7" applyFont="1" applyNumberFormat="1" applyFill="0" applyBorder="1" applyAlignment="1">
      <alignment horizontal="center" vertical="bottom" textRotation="0" wrapText="false" shrinkToFit="false"/>
    </xf>
    <xf xfId="0" fontId="14" numFmtId="168" fillId="2" borderId="0" applyFont="1" applyNumberFormat="1" applyFill="0" applyBorder="0" applyAlignment="0">
      <alignment horizontal="general" vertical="bottom" textRotation="0" wrapText="false" shrinkToFit="false"/>
    </xf>
    <xf xfId="0" fontId="8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168" fillId="2" borderId="0" applyFont="1" applyNumberFormat="1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1">
      <alignment horizontal="left" vertical="bottom" textRotation="0" wrapText="false" shrinkToFit="false"/>
    </xf>
    <xf xfId="0" fontId="64" numFmtId="168" fillId="2" borderId="0" applyFont="1" applyNumberFormat="1" applyFill="0" applyBorder="0" applyAlignment="0">
      <alignment horizontal="general" vertical="bottom" textRotation="0" wrapText="false" shrinkToFit="false"/>
    </xf>
    <xf xfId="0" fontId="39" numFmtId="168" fillId="2" borderId="0" applyFont="1" applyNumberFormat="1" applyFill="0" applyBorder="0" applyAlignment="0">
      <alignment horizontal="general" vertical="bottom" textRotation="0" wrapText="false" shrinkToFit="false"/>
    </xf>
    <xf xfId="0" fontId="65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11" numFmtId="168" fillId="2" borderId="0" applyFont="1" applyNumberFormat="1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168" fillId="2" borderId="0" applyFont="1" applyNumberFormat="1" applyFill="0" applyBorder="0" applyAlignment="1">
      <alignment horizontal="center" vertical="bottom" textRotation="0" wrapText="false" shrinkToFit="false"/>
    </xf>
    <xf xfId="0" fontId="66" numFmtId="168" fillId="2" borderId="0" applyFont="1" applyNumberFormat="1" applyFill="0" applyBorder="0" applyAlignment="1">
      <alignment horizontal="center" vertical="bottom" textRotation="0" wrapText="false" shrinkToFit="false"/>
    </xf>
    <xf xfId="0" fontId="7" numFmtId="168" fillId="2" borderId="0" applyFont="1" applyNumberFormat="1" applyFill="0" applyBorder="0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0">
      <alignment horizontal="general" vertical="bottom" textRotation="0" wrapText="false" shrinkToFit="false"/>
    </xf>
    <xf xfId="0" fontId="51" numFmtId="0" fillId="2" borderId="0" applyFont="1" applyNumberFormat="0" applyFill="0" applyBorder="0" applyAlignment="0">
      <alignment horizontal="general" vertical="bottom" textRotation="0" wrapText="false" shrinkToFit="false"/>
    </xf>
    <xf xfId="0" fontId="51" numFmtId="0" fillId="2" borderId="2" applyFont="1" applyNumberFormat="0" applyFill="0" applyBorder="1" applyAlignment="0">
      <alignment horizontal="general" vertical="bottom" textRotation="0" wrapText="false" shrinkToFit="false"/>
    </xf>
    <xf xfId="0" fontId="51" numFmtId="168" fillId="2" borderId="2" applyFont="1" applyNumberFormat="1" applyFill="0" applyBorder="1" applyAlignment="0">
      <alignment horizontal="general" vertical="bottom" textRotation="0" wrapText="false" shrinkToFit="false"/>
    </xf>
    <xf xfId="0" fontId="51" numFmtId="0" fillId="2" borderId="9" applyFont="1" applyNumberFormat="0" applyFill="0" applyBorder="1" applyAlignment="0">
      <alignment horizontal="general" vertical="bottom" textRotation="0" wrapText="false" shrinkToFit="false"/>
    </xf>
    <xf xfId="0" fontId="51" numFmtId="168" fillId="2" borderId="0" applyFont="1" applyNumberFormat="1" applyFill="0" applyBorder="0" applyAlignment="0">
      <alignment horizontal="general" vertical="bottom" textRotation="0" wrapText="false" shrinkToFit="false"/>
    </xf>
    <xf xfId="0" fontId="67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82" fillId="2" borderId="2" applyFont="1" applyNumberFormat="1" applyFill="0" applyBorder="1" applyAlignment="0">
      <alignment horizontal="general" vertical="bottom" textRotation="0" wrapText="false" shrinkToFit="false"/>
    </xf>
    <xf xfId="0" fontId="5" numFmtId="183" fillId="2" borderId="2" applyFont="1" applyNumberFormat="1" applyFill="0" applyBorder="1" applyAlignment="0">
      <alignment horizontal="general" vertical="bottom" textRotation="0" wrapText="false" shrinkToFit="false"/>
    </xf>
    <xf xfId="0" fontId="5" numFmtId="164" fillId="2" borderId="9" applyFont="1" applyNumberFormat="1" applyFill="0" applyBorder="1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9" fillId="2" borderId="2" applyFont="1" applyNumberFormat="1" applyFill="0" applyBorder="1" applyAlignment="0">
      <alignment horizontal="general" vertical="bottom" textRotation="0" wrapText="false" shrinkToFit="false"/>
    </xf>
    <xf xfId="0" fontId="5" numFmtId="168" fillId="2" borderId="9" applyFont="1" applyNumberFormat="1" applyFill="0" applyBorder="1" applyAlignment="0">
      <alignment horizontal="general" vertical="bottom" textRotation="0" wrapText="false" shrinkToFit="false"/>
    </xf>
    <xf xfId="0" fontId="19" numFmtId="168" fillId="2" borderId="0" applyFont="1" applyNumberFormat="1" applyFill="0" applyBorder="0" applyAlignment="0">
      <alignment horizontal="general" vertical="bottom" textRotation="0" wrapText="false" shrinkToFit="false"/>
    </xf>
    <xf xfId="0" fontId="8" numFmtId="169" fillId="2" borderId="2" applyFont="1" applyNumberFormat="1" applyFill="0" applyBorder="1" applyAlignment="0">
      <alignment horizontal="general" vertical="bottom" textRotation="0" wrapText="false" shrinkToFit="false"/>
    </xf>
    <xf xfId="0" fontId="8" numFmtId="168" fillId="2" borderId="9" applyFont="1" applyNumberFormat="1" applyFill="0" applyBorder="1" applyAlignment="0">
      <alignment horizontal="general" vertical="bottom" textRotation="0" wrapText="false" shrinkToFit="false"/>
    </xf>
    <xf xfId="0" fontId="43" numFmtId="0" fillId="2" borderId="1" applyFont="1" applyNumberFormat="0" applyFill="0" applyBorder="1" applyAlignment="0">
      <alignment horizontal="general" vertical="bottom" textRotation="0" wrapText="false" shrinkToFit="false"/>
    </xf>
    <xf xfId="0" fontId="43" numFmtId="0" fillId="2" borderId="3" applyFont="1" applyNumberFormat="0" applyFill="0" applyBorder="1" applyAlignment="1">
      <alignment horizontal="center" vertical="bottom" textRotation="0" wrapText="false" shrinkToFit="false"/>
    </xf>
    <xf xfId="0" fontId="24" numFmtId="164" fillId="2" borderId="10" applyFont="1" applyNumberFormat="1" applyFill="0" applyBorder="1" applyAlignment="0">
      <alignment horizontal="general" vertical="bottom" textRotation="0" wrapText="false" shrinkToFit="false"/>
    </xf>
    <xf xfId="0" fontId="24" numFmtId="164" fillId="2" borderId="1" applyFont="1" applyNumberFormat="1" applyFill="0" applyBorder="1" applyAlignment="0">
      <alignment horizontal="general" vertical="bottom" textRotation="0" wrapText="false" shrinkToFit="false"/>
    </xf>
    <xf xfId="0" fontId="60" numFmtId="168" fillId="2" borderId="0" applyFont="1" applyNumberFormat="1" applyFill="0" applyBorder="0" applyAlignment="0">
      <alignment horizontal="general" vertical="bottom" textRotation="0" wrapText="false" shrinkToFit="false"/>
    </xf>
    <xf xfId="0" fontId="60" numFmtId="0" fillId="2" borderId="0" applyFont="1" applyNumberFormat="0" applyFill="0" applyBorder="0" applyAlignment="0">
      <alignment horizontal="general" vertical="bottom" textRotation="0" wrapText="false" shrinkToFit="false"/>
    </xf>
    <xf xfId="0" fontId="24" numFmtId="164" fillId="2" borderId="2" applyFont="1" applyNumberFormat="1" applyFill="0" applyBorder="1" applyAlignment="0">
      <alignment horizontal="general" vertical="bottom" textRotation="0" wrapText="false" shrinkToFit="false"/>
    </xf>
    <xf xfId="0" fontId="24" numFmtId="164" fillId="2" borderId="9" applyFont="1" applyNumberFormat="1" applyFill="0" applyBorder="1" applyAlignment="0">
      <alignment horizontal="general" vertical="bottom" textRotation="0" wrapText="false" shrinkToFit="false"/>
    </xf>
    <xf xfId="0" fontId="24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0" fillId="2" borderId="9" applyFont="1" applyNumberFormat="0" applyFill="0" applyBorder="1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183" fillId="2" borderId="2" applyFont="1" applyNumberFormat="1" applyFill="0" applyBorder="1" applyAlignment="1">
      <alignment horizontal="center" vertical="bottom" textRotation="0" wrapText="false" shrinkToFit="false"/>
    </xf>
    <xf xfId="0" fontId="5" numFmtId="183" fillId="2" borderId="9" applyFont="1" applyNumberFormat="1" applyFill="0" applyBorder="1" applyAlignment="1">
      <alignment horizontal="center" vertical="bottom" textRotation="0" wrapText="false" shrinkToFit="false"/>
    </xf>
    <xf xfId="0" fontId="5" numFmtId="183" fillId="2" borderId="0" applyFont="1" applyNumberFormat="1" applyFill="0" applyBorder="0" applyAlignment="1">
      <alignment horizontal="center" vertical="bottom" textRotation="0" wrapText="false" shrinkToFit="false"/>
    </xf>
    <xf xfId="0" fontId="5" numFmtId="168" fillId="2" borderId="9" applyFont="1" applyNumberFormat="1" applyFill="0" applyBorder="1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true" shrinkToFit="false"/>
    </xf>
    <xf xfId="0" fontId="5" numFmtId="4" fillId="2" borderId="0" applyFont="1" applyNumberFormat="1" applyFill="0" applyBorder="0" applyAlignment="0">
      <alignment horizontal="general" vertical="bottom" textRotation="0" wrapText="false" shrinkToFit="false"/>
    </xf>
    <xf xfId="0" fontId="68" numFmtId="4" fillId="2" borderId="0" applyFont="1" applyNumberFormat="1" applyFill="0" applyBorder="0" applyAlignment="0">
      <alignment horizontal="general" vertical="bottom" textRotation="0" wrapText="false" shrinkToFit="false"/>
    </xf>
    <xf xfId="0" fontId="69" numFmtId="0" fillId="2" borderId="0" applyFont="1" applyNumberFormat="0" applyFill="0" applyBorder="0" applyAlignment="0">
      <alignment horizontal="general" vertical="bottom" textRotation="0" wrapText="false" shrinkToFit="false"/>
    </xf>
    <xf xfId="0" fontId="69" numFmtId="0" fillId="2" borderId="2" applyFont="1" applyNumberFormat="0" applyFill="0" applyBorder="1" applyAlignment="1">
      <alignment horizontal="center" vertical="bottom" textRotation="0" wrapText="false" shrinkToFit="false"/>
    </xf>
    <xf xfId="0" fontId="70" numFmtId="164" fillId="2" borderId="2" applyFont="1" applyNumberFormat="1" applyFill="0" applyBorder="1" applyAlignment="0">
      <alignment horizontal="general" vertical="bottom" textRotation="0" wrapText="false" shrinkToFit="false"/>
    </xf>
    <xf xfId="0" fontId="70" numFmtId="164" fillId="2" borderId="9" applyFont="1" applyNumberFormat="1" applyFill="0" applyBorder="1" applyAlignment="0">
      <alignment horizontal="general" vertical="bottom" textRotation="0" wrapText="false" shrinkToFit="false"/>
    </xf>
    <xf xfId="0" fontId="70" numFmtId="164" fillId="2" borderId="0" applyFont="1" applyNumberFormat="1" applyFill="0" applyBorder="0" applyAlignment="0">
      <alignment horizontal="general" vertical="bottom" textRotation="0" wrapText="false" shrinkToFit="false"/>
    </xf>
    <xf xfId="0" fontId="71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2" applyFont="1" applyNumberFormat="1" applyFill="0" applyBorder="1" applyAlignment="0">
      <alignment horizontal="general" vertical="bottom" textRotation="0" wrapText="false" shrinkToFit="false"/>
    </xf>
    <xf xfId="0" fontId="5" numFmtId="184" fillId="2" borderId="2" applyFont="1" applyNumberFormat="1" applyFill="0" applyBorder="1" applyAlignment="0">
      <alignment horizontal="general" vertical="bottom" textRotation="0" wrapText="false" shrinkToFit="false"/>
    </xf>
    <xf xfId="0" fontId="5" numFmtId="184" fillId="2" borderId="9" applyFont="1" applyNumberFormat="1" applyFill="0" applyBorder="1" applyAlignment="0">
      <alignment horizontal="general" vertical="bottom" textRotation="0" wrapText="false" shrinkToFit="false"/>
    </xf>
    <xf xfId="0" fontId="5" numFmtId="184" fillId="2" borderId="0" applyFont="1" applyNumberFormat="1" applyFill="0" applyBorder="0" applyAlignment="0">
      <alignment horizontal="general" vertical="bottom" textRotation="0" wrapText="false" shrinkToFit="false"/>
    </xf>
    <xf xfId="0" fontId="5" numFmtId="169" fillId="2" borderId="9" applyFont="1" applyNumberFormat="1" applyFill="0" applyBorder="1" applyAlignment="0">
      <alignment horizontal="general" vertical="bottom" textRotation="0" wrapText="false" shrinkToFit="false"/>
    </xf>
    <xf xfId="0" fontId="5" numFmtId="169" fillId="2" borderId="0" applyFont="1" applyNumberFormat="1" applyFill="0" applyBorder="0" applyAlignment="0">
      <alignment horizontal="general" vertical="bottom" textRotation="0" wrapText="false" shrinkToFit="false"/>
    </xf>
    <xf xfId="0" fontId="8" numFmtId="168" fillId="2" borderId="0" applyFont="1" applyNumberFormat="1" applyFill="0" applyBorder="0" applyAlignment="1">
      <alignment horizontal="center" vertical="bottom" textRotation="0" wrapText="false" shrinkToFit="false"/>
    </xf>
    <xf xfId="0" fontId="35" numFmtId="0" fillId="2" borderId="0" applyFont="1" applyNumberFormat="0" applyFill="0" applyBorder="0" applyAlignment="0">
      <alignment horizontal="general" vertical="bottom" textRotation="0" wrapText="false" shrinkToFit="false"/>
    </xf>
    <xf xfId="0" fontId="24" numFmtId="175" fillId="2" borderId="2" applyFont="1" applyNumberFormat="1" applyFill="0" applyBorder="1" applyAlignment="0">
      <alignment horizontal="general" vertical="bottom" textRotation="0" wrapText="false" shrinkToFit="false"/>
    </xf>
    <xf xfId="0" fontId="24" numFmtId="175" fillId="2" borderId="9" applyFont="1" applyNumberFormat="1" applyFill="0" applyBorder="1" applyAlignment="0">
      <alignment horizontal="general" vertical="bottom" textRotation="0" wrapText="false" shrinkToFit="false"/>
    </xf>
    <xf xfId="0" fontId="24" numFmtId="175" fillId="2" borderId="0" applyFont="1" applyNumberFormat="1" applyFill="0" applyBorder="0" applyAlignment="0">
      <alignment horizontal="general" vertical="bottom" textRotation="0" wrapText="false" shrinkToFit="false"/>
    </xf>
    <xf xfId="0" fontId="45" numFmtId="164" fillId="2" borderId="2" applyFont="1" applyNumberFormat="1" applyFill="0" applyBorder="1" applyAlignment="0">
      <alignment horizontal="general" vertical="bottom" textRotation="0" wrapText="false" shrinkToFit="false"/>
    </xf>
    <xf xfId="0" fontId="45" numFmtId="164" fillId="2" borderId="9" applyFont="1" applyNumberFormat="1" applyFill="0" applyBorder="1" applyAlignment="0">
      <alignment horizontal="general" vertical="bottom" textRotation="0" wrapText="false" shrinkToFit="false"/>
    </xf>
    <xf xfId="0" fontId="45" numFmtId="164" fillId="2" borderId="7" applyFont="1" applyNumberFormat="1" applyFill="0" applyBorder="1" applyAlignment="0">
      <alignment horizontal="general" vertical="bottom" textRotation="0" wrapText="false" shrinkToFit="false"/>
    </xf>
    <xf xfId="0" fontId="11" numFmtId="168" fillId="2" borderId="0" applyFont="1" applyNumberFormat="1" applyFill="0" applyBorder="0" applyAlignment="0">
      <alignment horizontal="general" vertical="bottom" textRotation="0" wrapText="false" shrinkToFit="false"/>
    </xf>
    <xf xfId="0" fontId="72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4" fillId="2" borderId="5" applyFont="1" applyNumberFormat="1" applyFill="0" applyBorder="1" applyAlignment="0">
      <alignment horizontal="general" vertical="bottom" textRotation="0" wrapText="false" shrinkToFit="false"/>
    </xf>
    <xf xfId="0" fontId="5" numFmtId="168" fillId="2" borderId="5" applyFont="1" applyNumberFormat="1" applyFill="0" applyBorder="1" applyAlignment="1">
      <alignment horizontal="center" vertical="bottom" textRotation="0" wrapText="false" shrinkToFit="false"/>
    </xf>
    <xf xfId="0" fontId="62" numFmtId="0" fillId="2" borderId="0" applyFont="1" applyNumberFormat="0" applyFill="0" applyBorder="0" applyAlignment="0">
      <alignment horizontal="general" vertical="bottom" textRotation="0" wrapText="false" shrinkToFit="false"/>
    </xf>
    <xf xfId="0" fontId="17" numFmtId="168" fillId="2" borderId="0" applyFont="1" applyNumberFormat="1" applyFill="0" applyBorder="0" applyAlignment="0">
      <alignment horizontal="general" vertical="bottom" textRotation="0" wrapText="false" shrinkToFit="false"/>
    </xf>
    <xf xfId="0" fontId="19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40" fillId="2" borderId="2" applyFont="1" applyNumberFormat="1" applyFill="0" applyBorder="1" applyAlignment="0">
      <alignment horizontal="general" vertical="bottom" textRotation="0" wrapText="false" shrinkToFit="false"/>
    </xf>
    <xf xfId="0" fontId="73" numFmtId="168" fillId="2" borderId="0" applyFont="1" applyNumberFormat="1" applyFill="0" applyBorder="0" applyAlignment="0">
      <alignment horizontal="general" vertical="bottom" textRotation="0" wrapText="false" shrinkToFit="false"/>
    </xf>
    <xf xfId="0" fontId="73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72" fillId="2" borderId="2" applyFont="1" applyNumberFormat="1" applyFill="0" applyBorder="1" applyAlignment="0">
      <alignment horizontal="general" vertical="bottom" textRotation="0" wrapText="false" shrinkToFit="false"/>
    </xf>
    <xf xfId="0" fontId="5" numFmtId="172" fillId="2" borderId="0" applyFont="1" applyNumberFormat="1" applyFill="0" applyBorder="0" applyAlignment="0">
      <alignment horizontal="general" vertical="bottom" textRotation="0" wrapText="false" shrinkToFit="false"/>
    </xf>
    <xf xfId="0" fontId="5" numFmtId="0" fillId="2" borderId="8" applyFont="1" applyNumberFormat="0" applyFill="0" applyBorder="1" applyAlignment="0">
      <alignment horizontal="general" vertical="bottom" textRotation="0" wrapText="false" shrinkToFit="false"/>
    </xf>
    <xf xfId="0" fontId="5" numFmtId="168" fillId="2" borderId="2" applyFont="1" applyNumberFormat="1" applyFill="0" applyBorder="1" applyAlignment="0">
      <alignment horizontal="general" vertical="bottom" textRotation="0" wrapText="false" shrinkToFit="false"/>
    </xf>
    <xf xfId="0" fontId="5" numFmtId="0" fillId="2" borderId="8" applyFont="1" applyNumberFormat="0" applyFill="0" applyBorder="1" applyAlignment="1">
      <alignment horizontal="left" vertical="center" textRotation="0" wrapText="false" shrinkToFit="false" indent="2"/>
    </xf>
    <xf xfId="0" fontId="5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24" numFmtId="164" fillId="2" borderId="2" applyFont="1" applyNumberFormat="1" applyFill="0" applyBorder="1" applyAlignment="1">
      <alignment horizontal="center" vertical="bottom" textRotation="0" wrapText="false" shrinkToFit="false"/>
    </xf>
    <xf xfId="0" fontId="24" numFmtId="164" fillId="2" borderId="0" applyFont="1" applyNumberFormat="1" applyFill="0" applyBorder="0" applyAlignment="1">
      <alignment horizontal="center" vertical="bottom" textRotation="0" wrapText="false" shrinkToFit="false"/>
    </xf>
    <xf xfId="0" fontId="74" numFmtId="0" fillId="2" borderId="0" applyFont="1" applyNumberFormat="0" applyFill="0" applyBorder="0" applyAlignment="0">
      <alignment horizontal="general" vertical="bottom" textRotation="0" wrapText="false" shrinkToFit="false"/>
    </xf>
    <xf xfId="0" fontId="6" numFmtId="0" fillId="2" borderId="1" applyFont="1" applyNumberFormat="0" applyFill="0" applyBorder="1" applyAlignment="1">
      <alignment horizontal="center" vertical="bottom" textRotation="0" wrapText="false" shrinkToFit="false"/>
    </xf>
    <xf xfId="0" fontId="24" numFmtId="164" fillId="2" borderId="3" applyFont="1" applyNumberFormat="1" applyFill="0" applyBorder="1" applyAlignment="1">
      <alignment horizontal="center" vertical="bottom" textRotation="0" wrapText="false" shrinkToFit="false"/>
    </xf>
    <xf xfId="0" fontId="24" numFmtId="164" fillId="2" borderId="1" applyFont="1" applyNumberFormat="1" applyFill="0" applyBorder="1" applyAlignment="1">
      <alignment horizontal="center" vertical="bottom" textRotation="0" wrapText="false" shrinkToFit="false"/>
    </xf>
    <xf xfId="0" fontId="75" numFmtId="0" fillId="2" borderId="0" applyFont="1" applyNumberFormat="0" applyFill="0" applyBorder="0" applyAlignment="0">
      <alignment horizontal="general" vertical="bottom" textRotation="0" wrapText="false" shrinkToFit="false"/>
    </xf>
    <xf xfId="0" fontId="75" numFmtId="0" fillId="2" borderId="2" applyFont="1" applyNumberFormat="0" applyFill="0" applyBorder="1" applyAlignment="1">
      <alignment horizontal="center" vertical="bottom" textRotation="0" wrapText="false" shrinkToFit="false"/>
    </xf>
    <xf xfId="0" fontId="75" numFmtId="168" fillId="2" borderId="2" applyFont="1" applyNumberFormat="1" applyFill="0" applyBorder="1" applyAlignment="0">
      <alignment horizontal="general" vertical="bottom" textRotation="0" wrapText="false" shrinkToFit="false"/>
    </xf>
    <xf xfId="0" fontId="75" numFmtId="168" fillId="2" borderId="0" applyFont="1" applyNumberFormat="1" applyFill="0" applyBorder="0" applyAlignment="0">
      <alignment horizontal="general" vertical="bottom" textRotation="0" wrapText="false" shrinkToFit="false"/>
    </xf>
    <xf xfId="0" fontId="76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172" fillId="2" borderId="2" applyFont="1" applyNumberFormat="1" applyFill="0" applyBorder="1" applyAlignment="0">
      <alignment horizontal="general" vertical="bottom" textRotation="0" wrapText="false" shrinkToFit="false"/>
    </xf>
    <xf xfId="0" fontId="45" numFmtId="164" fillId="2" borderId="0" applyFont="1" applyNumberFormat="1" applyFill="0" applyBorder="0" applyAlignment="0">
      <alignment horizontal="general" vertical="bottom" textRotation="0" wrapText="false" shrinkToFit="false"/>
    </xf>
    <xf xfId="0" fontId="45" numFmtId="164" fillId="2" borderId="3" applyFont="1" applyNumberFormat="1" applyFill="0" applyBorder="1" applyAlignment="0">
      <alignment horizontal="general" vertical="bottom" textRotation="0" wrapText="false" shrinkToFit="false"/>
    </xf>
    <xf xfId="0" fontId="45" numFmtId="164" fillId="2" borderId="1" applyFont="1" applyNumberFormat="1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77" numFmtId="164" fillId="2" borderId="0" applyFont="1" applyNumberFormat="1" applyFill="0" applyBorder="0" applyAlignment="0">
      <alignment horizontal="general" vertical="bottom" textRotation="0" wrapText="false" shrinkToFit="false"/>
    </xf>
    <xf xfId="0" fontId="7" numFmtId="168" fillId="2" borderId="0" applyFont="1" applyNumberFormat="1" applyFill="0" applyBorder="0" applyAlignment="1">
      <alignment horizontal="left" vertical="bottom" textRotation="0" wrapText="false" shrinkToFit="false"/>
    </xf>
    <xf xfId="0" fontId="78" numFmtId="0" fillId="2" borderId="0" applyFont="1" applyNumberFormat="0" applyFill="0" applyBorder="0" applyAlignment="0">
      <alignment horizontal="general" vertical="bottom" textRotation="0" wrapText="false" shrinkToFit="false"/>
    </xf>
    <xf xfId="0" fontId="39" numFmtId="168" fillId="2" borderId="0" applyFont="1" applyNumberFormat="1" applyFill="0" applyBorder="0" applyAlignment="1">
      <alignment horizontal="center" vertical="bottom" textRotation="0" wrapText="false" shrinkToFit="false"/>
    </xf>
    <xf xfId="0" fontId="40" numFmtId="0" fillId="2" borderId="0" applyFont="1" applyNumberFormat="0" applyFill="0" applyBorder="0" applyAlignment="0">
      <alignment horizontal="general" vertical="bottom" textRotation="0" wrapText="false" shrinkToFit="false"/>
    </xf>
    <xf xfId="0" fontId="17" numFmtId="14" fillId="2" borderId="2" applyFont="1" applyNumberFormat="1" applyFill="0" applyBorder="1" applyAlignment="0">
      <alignment horizontal="general" vertical="bottom" textRotation="0" wrapText="false" shrinkToFit="false"/>
    </xf>
    <xf xfId="0" fontId="17" numFmtId="168" fillId="2" borderId="2" applyFont="1" applyNumberFormat="1" applyFill="0" applyBorder="1" applyAlignment="1">
      <alignment horizontal="center" vertical="bottom" textRotation="0" wrapText="false" shrinkToFit="false"/>
    </xf>
    <xf xfId="0" fontId="79" numFmtId="0" fillId="2" borderId="2" applyFont="1" applyNumberFormat="0" applyFill="0" applyBorder="1" applyAlignment="0">
      <alignment horizontal="general" vertical="bottom" textRotation="0" wrapText="false" shrinkToFit="false"/>
    </xf>
    <xf xfId="0" fontId="80" numFmtId="0" fillId="2" borderId="0" applyFont="1" applyNumberFormat="0" applyFill="0" applyBorder="0" applyAlignment="0">
      <alignment horizontal="general" vertical="bottom" textRotation="0" wrapText="false" shrinkToFit="false"/>
    </xf>
    <xf xfId="0" fontId="81" numFmtId="0" fillId="2" borderId="0" applyFont="1" applyNumberFormat="0" applyFill="0" applyBorder="0" applyAlignment="0">
      <alignment horizontal="general" vertical="bottom" textRotation="0" wrapText="false" shrinkToFit="false"/>
    </xf>
    <xf xfId="0" fontId="17" numFmtId="0" fillId="2" borderId="2" applyFont="1" applyNumberFormat="0" applyFill="0" applyBorder="1" applyAlignment="0">
      <alignment horizontal="general" vertical="bottom" textRotation="0" wrapText="false" shrinkToFit="false"/>
    </xf>
    <xf xfId="0" fontId="17" numFmtId="168" fillId="2" borderId="2" applyFont="1" applyNumberFormat="1" applyFill="0" applyBorder="1" applyAlignment="0">
      <alignment horizontal="general" vertical="bottom" textRotation="0" wrapText="false" shrinkToFit="false"/>
    </xf>
    <xf xfId="0" fontId="35" numFmtId="168" fillId="2" borderId="0" applyFont="1" applyNumberFormat="1" applyFill="0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82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83" numFmtId="0" fillId="2" borderId="0" applyFont="1" applyNumberFormat="0" applyFill="0" applyBorder="0" applyAlignment="1">
      <alignment horizontal="general" vertical="center" textRotation="0" wrapText="false" shrinkToFit="false"/>
    </xf>
    <xf xfId="0" fontId="8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75" fillId="2" borderId="2" applyFont="1" applyNumberFormat="1" applyFill="0" applyBorder="1" applyAlignment="0">
      <alignment horizontal="general" vertical="bottom" textRotation="0" wrapText="false" shrinkToFit="false"/>
    </xf>
    <xf xfId="0" fontId="8" numFmtId="185" fillId="2" borderId="2" applyFont="1" applyNumberFormat="1" applyFill="0" applyBorder="1" applyAlignment="0">
      <alignment horizontal="general" vertical="bottom" textRotation="0" wrapText="false" shrinkToFit="false"/>
    </xf>
    <xf xfId="0" fontId="8" numFmtId="185" fillId="2" borderId="0" applyFont="1" applyNumberFormat="1" applyFill="0" applyBorder="0" applyAlignment="0">
      <alignment horizontal="general" vertical="bottom" textRotation="0" wrapText="false" shrinkToFit="false"/>
    </xf>
    <xf xfId="0" fontId="6" numFmtId="49" fillId="2" borderId="2" applyFont="1" applyNumberFormat="1" applyFill="0" applyBorder="1" applyAlignment="1">
      <alignment horizontal="center" vertical="bottom" textRotation="0" wrapText="false" shrinkToFit="false"/>
    </xf>
    <xf xfId="0" fontId="24" numFmtId="164" fillId="2" borderId="7" applyFont="1" applyNumberFormat="1" applyFill="0" applyBorder="1" applyAlignment="0">
      <alignment horizontal="general" vertical="bottom" textRotation="0" wrapText="false" shrinkToFit="false"/>
    </xf>
    <xf xfId="0" fontId="6" numFmtId="49" fillId="2" borderId="3" applyFont="1" applyNumberFormat="1" applyFill="0" applyBorder="1" applyAlignment="1">
      <alignment horizontal="center" vertical="bottom" textRotation="0" wrapText="false" shrinkToFit="false"/>
    </xf>
    <xf xfId="0" fontId="6" numFmtId="49" fillId="2" borderId="2" applyFont="1" applyNumberFormat="1" applyFill="0" applyBorder="1" applyAlignment="1">
      <alignment horizontal="center" vertical="bottom" textRotation="0" wrapText="false" shrinkToFit="false"/>
    </xf>
    <xf xfId="0" fontId="24" numFmtId="164" fillId="2" borderId="2" applyFont="1" applyNumberFormat="1" applyFill="0" applyBorder="1" applyAlignment="0">
      <alignment horizontal="general" vertical="bottom" textRotation="0" wrapText="false" shrinkToFit="false"/>
    </xf>
    <xf xfId="0" fontId="24" numFmtId="164" fillId="2" borderId="0" applyFont="1" applyNumberFormat="1" applyFill="0" applyBorder="0" applyAlignment="0">
      <alignment horizontal="general" vertical="bottom" textRotation="0" wrapText="false" shrinkToFit="false"/>
    </xf>
    <xf xfId="0" fontId="24" numFmtId="168" fillId="2" borderId="2" applyFont="1" applyNumberFormat="1" applyFill="0" applyBorder="1" applyAlignment="0">
      <alignment horizontal="general" vertical="bottom" textRotation="0" wrapText="false" shrinkToFit="false"/>
    </xf>
    <xf xfId="0" fontId="24" numFmtId="168" fillId="2" borderId="0" applyFont="1" applyNumberFormat="1" applyFill="0" applyBorder="0" applyAlignment="0">
      <alignment horizontal="general" vertical="bottom" textRotation="0" wrapText="false" shrinkToFit="false"/>
    </xf>
    <xf xfId="0" fontId="8" numFmtId="164" fillId="2" borderId="3" applyFont="1" applyNumberFormat="1" applyFill="0" applyBorder="1" applyAlignment="0">
      <alignment horizontal="general" vertical="bottom" textRotation="0" wrapText="false" shrinkToFit="false"/>
    </xf>
    <xf xfId="0" fontId="8" numFmtId="164" fillId="2" borderId="1" applyFont="1" applyNumberFormat="1" applyFill="0" applyBorder="1" applyAlignment="0">
      <alignment horizontal="general" vertical="bottom" textRotation="0" wrapText="false" shrinkToFit="false"/>
    </xf>
    <xf xfId="0" fontId="7" numFmtId="49" fillId="2" borderId="0" applyFont="1" applyNumberFormat="1" applyFill="0" applyBorder="0" applyAlignment="1">
      <alignment horizontal="center" vertical="bottom" textRotation="0" wrapText="false" shrinkToFit="false"/>
    </xf>
    <xf xfId="0" fontId="85" numFmtId="164" fillId="2" borderId="0" applyFont="1" applyNumberFormat="1" applyFill="0" applyBorder="0" applyAlignment="0">
      <alignment horizontal="general" vertical="bottom" textRotation="0" wrapText="false" shrinkToFit="false"/>
    </xf>
    <xf xfId="0" fontId="39" numFmtId="0" fillId="2" borderId="11" applyFont="1" applyNumberFormat="0" applyFill="0" applyBorder="1" applyAlignment="0">
      <alignment horizontal="general" vertical="bottom" textRotation="0" wrapText="false" shrinkToFit="false"/>
    </xf>
    <xf xfId="0" fontId="86" numFmtId="168" fillId="2" borderId="0" applyFont="1" applyNumberFormat="1" applyFill="0" applyBorder="0" applyAlignment="0">
      <alignment horizontal="general" vertical="bottom" textRotation="0" wrapText="false" shrinkToFit="false"/>
    </xf>
    <xf xfId="0" fontId="86" numFmtId="0" fillId="2" borderId="0" applyFont="1" applyNumberFormat="0" applyFill="0" applyBorder="0" applyAlignment="0">
      <alignment horizontal="general" vertical="bottom" textRotation="0" wrapText="false" shrinkToFit="false"/>
    </xf>
    <xf xfId="0" fontId="17" numFmtId="14" fillId="2" borderId="5" applyFont="1" applyNumberFormat="1" applyFill="0" applyBorder="1" applyAlignment="0">
      <alignment horizontal="general" vertical="bottom" textRotation="0" wrapText="false" shrinkToFit="false"/>
    </xf>
    <xf xfId="0" fontId="17" numFmtId="168" fillId="2" borderId="5" applyFont="1" applyNumberFormat="1" applyFill="0" applyBorder="1" applyAlignment="1">
      <alignment horizontal="center" vertical="bottom" textRotation="0" wrapText="false" shrinkToFit="false"/>
    </xf>
    <xf xfId="0" fontId="17" numFmtId="0" fillId="2" borderId="5" applyFont="1" applyNumberFormat="0" applyFill="0" applyBorder="1" applyAlignment="0">
      <alignment horizontal="general" vertical="bottom" textRotation="0" wrapText="false" shrinkToFit="false"/>
    </xf>
    <xf xfId="0" fontId="87" numFmtId="0" fillId="2" borderId="0" applyFont="1" applyNumberFormat="0" applyFill="0" applyBorder="0" applyAlignment="0">
      <alignment horizontal="general" vertical="bottom" textRotation="0" wrapText="false" shrinkToFit="false"/>
    </xf>
    <xf xfId="0" fontId="88" numFmtId="0" fillId="2" borderId="0" applyFont="1" applyNumberFormat="0" applyFill="0" applyBorder="0" applyAlignment="0">
      <alignment horizontal="general" vertical="bottom" textRotation="0" wrapText="false" shrinkToFit="false"/>
    </xf>
    <xf xfId="0" fontId="22" numFmtId="0" fillId="2" borderId="1" applyFont="1" applyNumberFormat="0" applyFill="0" applyBorder="1" applyAlignment="0">
      <alignment horizontal="general" vertical="bottom" textRotation="0" wrapText="false" shrinkToFit="false"/>
    </xf>
    <xf xfId="0" fontId="6" numFmtId="168" fillId="2" borderId="0" applyFont="1" applyNumberFormat="1" applyFill="0" applyBorder="0" applyAlignment="0">
      <alignment horizontal="general" vertical="bottom" textRotation="0" wrapText="false" shrinkToFit="false"/>
    </xf>
    <xf xfId="0" fontId="88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5" numFmtId="164" fillId="2" borderId="2" applyFont="1" applyNumberFormat="1" applyFill="0" applyBorder="1" applyAlignment="1">
      <alignment horizontal="center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bottom" textRotation="0" wrapText="false" shrinkToFit="false"/>
    </xf>
    <xf xfId="0" fontId="22" numFmtId="0" fillId="2" borderId="0" applyFont="1" applyNumberFormat="0" applyFill="0" applyBorder="0" applyAlignment="1">
      <alignment horizontal="center" vertical="bottom" textRotation="0" wrapText="false" shrinkToFit="false"/>
    </xf>
    <xf xfId="0" fontId="24" numFmtId="164" fillId="2" borderId="2" applyFont="1" applyNumberFormat="1" applyFill="0" applyBorder="1" applyAlignment="1">
      <alignment horizontal="center" vertical="bottom" textRotation="0" wrapText="false" shrinkToFit="false"/>
    </xf>
    <xf xfId="0" fontId="24" numFmtId="164" fillId="2" borderId="7" applyFont="1" applyNumberFormat="1" applyFill="0" applyBorder="1" applyAlignment="1">
      <alignment horizontal="center" vertical="bottom" textRotation="0" wrapText="false" shrinkToFit="false"/>
    </xf>
    <xf xfId="0" fontId="19" numFmtId="168" fillId="2" borderId="1" applyFont="1" applyNumberFormat="1" applyFill="0" applyBorder="1" applyAlignment="0">
      <alignment horizontal="general" vertical="bottom" textRotation="0" wrapText="false" shrinkToFit="false"/>
    </xf>
    <xf xfId="0" fontId="5" numFmtId="168" fillId="2" borderId="3" applyFont="1" applyNumberFormat="1" applyFill="0" applyBorder="1" applyAlignment="1">
      <alignment horizontal="center" vertical="bottom" textRotation="0" wrapText="false" shrinkToFit="false"/>
    </xf>
    <xf xfId="0" fontId="5" numFmtId="168" fillId="2" borderId="1" applyFont="1" applyNumberFormat="1" applyFill="0" applyBorder="1" applyAlignment="1">
      <alignment horizontal="center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22" numFmtId="0" fillId="2" borderId="0" applyFont="1" applyNumberFormat="0" applyFill="0" applyBorder="0" applyAlignment="0">
      <alignment horizontal="general" vertical="bottom" textRotation="0" wrapText="false" shrinkToFit="false"/>
    </xf>
    <xf xfId="0" fontId="24" numFmtId="175" fillId="2" borderId="7" applyFont="1" applyNumberFormat="1" applyFill="0" applyBorder="1" applyAlignment="0">
      <alignment horizontal="general" vertical="bottom" textRotation="0" wrapText="false" shrinkToFit="false"/>
    </xf>
    <xf xfId="0" fontId="24" numFmtId="175" fillId="2" borderId="2" applyFont="1" applyNumberFormat="1" applyFill="0" applyBorder="1" applyAlignment="1">
      <alignment horizontal="center" vertical="bottom" textRotation="0" wrapText="false" shrinkToFit="false"/>
    </xf>
    <xf xfId="0" fontId="24" numFmtId="175" fillId="2" borderId="7" applyFont="1" applyNumberFormat="1" applyFill="0" applyBorder="1" applyAlignment="1">
      <alignment horizontal="center" vertical="bottom" textRotation="0" wrapText="false" shrinkToFit="false"/>
    </xf>
    <xf xfId="0" fontId="24" numFmtId="175" fillId="2" borderId="3" applyFont="1" applyNumberFormat="1" applyFill="0" applyBorder="1" applyAlignment="0">
      <alignment horizontal="general" vertical="bottom" textRotation="0" wrapText="false" shrinkToFit="false"/>
    </xf>
    <xf xfId="0" fontId="24" numFmtId="175" fillId="2" borderId="4" applyFont="1" applyNumberFormat="1" applyFill="0" applyBorder="1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1">
      <alignment horizontal="general" vertical="center" textRotation="0" wrapText="false" shrinkToFit="false"/>
    </xf>
    <xf xfId="0" fontId="59" numFmtId="0" fillId="2" borderId="0" applyFont="1" applyNumberFormat="0" applyFill="0" applyBorder="0" applyAlignment="1">
      <alignment horizontal="center" vertical="bottom" textRotation="0" wrapText="false" shrinkToFit="false"/>
    </xf>
    <xf xfId="0" fontId="89" numFmtId="0" fillId="2" borderId="0" applyFont="1" applyNumberFormat="0" applyFill="0" applyBorder="0" applyAlignment="1">
      <alignment horizontal="center" vertical="bottom" textRotation="0" wrapText="false" shrinkToFit="false"/>
    </xf>
    <xf xfId="0" fontId="34" numFmtId="0" fillId="2" borderId="2" applyFont="1" applyNumberFormat="0" applyFill="0" applyBorder="1" applyAlignment="1">
      <alignment horizontal="center" vertical="bottom" textRotation="0" wrapText="false" shrinkToFit="false"/>
    </xf>
    <xf xfId="0" fontId="29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169" fillId="2" borderId="0" applyFont="1" applyNumberFormat="1" applyFill="0" applyBorder="0" applyAlignment="0">
      <alignment horizontal="general" vertical="bottom" textRotation="0" wrapText="false" shrinkToFit="false"/>
    </xf>
    <xf xfId="0" fontId="24" numFmtId="175" fillId="2" borderId="0" applyFont="1" applyNumberFormat="1" applyFill="0" applyBorder="0" applyAlignment="1">
      <alignment horizontal="center" vertical="bottom" textRotation="0" wrapText="false" shrinkToFit="false"/>
    </xf>
    <xf xfId="0" fontId="57" numFmtId="0" fillId="2" borderId="0" applyFont="1" applyNumberFormat="0" applyFill="0" applyBorder="0" applyAlignment="0">
      <alignment horizontal="general" vertical="bottom" textRotation="0" wrapText="false" shrinkToFit="false"/>
    </xf>
    <xf xfId="0" fontId="55" numFmtId="0" fillId="2" borderId="0" applyFont="1" applyNumberFormat="0" applyFill="0" applyBorder="0" applyAlignment="1">
      <alignment horizontal="center" vertical="bottom" textRotation="0" wrapText="false" shrinkToFit="false"/>
    </xf>
    <xf xfId="0" fontId="44" numFmtId="164" fillId="2" borderId="2" applyFont="1" applyNumberFormat="1" applyFill="0" applyBorder="1" applyAlignment="1">
      <alignment horizontal="center" vertical="bottom" textRotation="0" wrapText="false" shrinkToFit="false"/>
    </xf>
    <xf xfId="0" fontId="44" numFmtId="164" fillId="2" borderId="0" applyFont="1" applyNumberFormat="1" applyFill="0" applyBorder="0" applyAlignment="1">
      <alignment horizontal="center" vertical="bottom" textRotation="0" wrapText="false" shrinkToFit="false"/>
    </xf>
    <xf xfId="0" fontId="45" numFmtId="175" fillId="2" borderId="0" applyFont="1" applyNumberFormat="1" applyFill="0" applyBorder="0" applyAlignment="0">
      <alignment horizontal="general" vertical="bottom" textRotation="0" wrapText="false" shrinkToFit="false"/>
    </xf>
    <xf xfId="0" fontId="45" numFmtId="175" fillId="2" borderId="1" applyFont="1" applyNumberFormat="1" applyFill="0" applyBorder="1" applyAlignment="0">
      <alignment horizontal="general" vertical="bottom" textRotation="0" wrapText="false" shrinkToFit="false"/>
    </xf>
    <xf xfId="0" fontId="43" numFmtId="0" fillId="2" borderId="0" applyFont="1" applyNumberFormat="0" applyFill="0" applyBorder="0" applyAlignment="1">
      <alignment horizontal="left" vertical="bottom" textRotation="0" wrapText="false" shrinkToFit="false"/>
    </xf>
    <xf xfId="0" fontId="44" numFmtId="175" fillId="2" borderId="0" applyFont="1" applyNumberFormat="1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1">
      <alignment horizontal="center" vertical="bottom" textRotation="0" wrapText="false" shrinkToFit="false"/>
    </xf>
    <xf xfId="0" fontId="55" numFmtId="0" fillId="2" borderId="0" applyFont="1" applyNumberFormat="0" applyFill="0" applyBorder="0" applyAlignment="0">
      <alignment horizontal="general" vertical="bottom" textRotation="0" wrapText="false" shrinkToFit="false"/>
    </xf>
    <xf xfId="0" fontId="44" numFmtId="164" fillId="2" borderId="0" applyFont="1" applyNumberFormat="1" applyFill="0" applyBorder="0" applyAlignment="0">
      <alignment horizontal="general" vertical="bottom" textRotation="0" wrapText="false" shrinkToFit="false"/>
    </xf>
    <xf xfId="0" fontId="90" numFmtId="0" fillId="2" borderId="0" applyFont="1" applyNumberFormat="0" applyFill="0" applyBorder="0" applyAlignment="0">
      <alignment horizontal="general" vertical="bottom" textRotation="0" wrapText="false" shrinkToFit="false"/>
    </xf>
    <xf xfId="0" fontId="29" numFmtId="168" fillId="2" borderId="0" applyFont="1" applyNumberFormat="1" applyFill="0" applyBorder="0" applyAlignment="0">
      <alignment horizontal="general" vertical="bottom" textRotation="0" wrapText="false" shrinkToFit="false"/>
    </xf>
    <xf xfId="0" fontId="5" quotePrefix="1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186" fillId="2" borderId="2" applyFont="1" applyNumberFormat="1" applyFill="0" applyBorder="1" applyAlignment="0">
      <alignment horizontal="general" vertical="bottom" textRotation="0" wrapText="false" shrinkToFit="false"/>
    </xf>
    <xf xfId="0" fontId="5" numFmtId="186" fillId="2" borderId="0" applyFont="1" applyNumberFormat="1" applyFill="0" applyBorder="0" applyAlignment="0">
      <alignment horizontal="general" vertical="bottom" textRotation="0" wrapText="false" shrinkToFit="false"/>
    </xf>
    <xf xfId="0" fontId="24" numFmtId="186" fillId="2" borderId="3" applyFont="1" applyNumberFormat="1" applyFill="0" applyBorder="1" applyAlignment="0">
      <alignment horizontal="general" vertical="bottom" textRotation="0" wrapText="false" shrinkToFit="false"/>
    </xf>
    <xf xfId="0" fontId="24" numFmtId="186" fillId="2" borderId="4" applyFont="1" applyNumberFormat="1" applyFill="0" applyBorder="1" applyAlignment="0">
      <alignment horizontal="general" vertical="bottom" textRotation="0" wrapText="false" shrinkToFit="false"/>
    </xf>
    <xf xfId="0" fontId="6" numFmtId="168" fillId="2" borderId="0" applyFont="1" applyNumberFormat="1" applyFill="0" applyBorder="0" applyAlignment="0">
      <alignment horizontal="general" vertical="bottom" textRotation="0" wrapText="false" shrinkToFit="false"/>
    </xf>
    <xf xfId="0" fontId="24" numFmtId="186" fillId="2" borderId="2" applyFont="1" applyNumberFormat="1" applyFill="0" applyBorder="1" applyAlignment="0">
      <alignment horizontal="general" vertical="bottom" textRotation="0" wrapText="false" shrinkToFit="false"/>
    </xf>
    <xf xfId="0" fontId="24" numFmtId="186" fillId="2" borderId="7" applyFont="1" applyNumberFormat="1" applyFill="0" applyBorder="1" applyAlignment="0">
      <alignment horizontal="general" vertical="bottom" textRotation="0" wrapText="false" shrinkToFit="false"/>
    </xf>
    <xf xfId="0" fontId="51" numFmtId="0" fillId="2" borderId="2" applyFont="1" applyNumberFormat="0" applyFill="0" applyBorder="1" applyAlignment="1">
      <alignment horizontal="center" vertical="bottom" textRotation="0" wrapText="false" shrinkToFit="false"/>
    </xf>
    <xf xfId="0" fontId="51" numFmtId="168" fillId="2" borderId="2" applyFont="1" applyNumberFormat="1" applyFill="0" applyBorder="1" applyAlignment="1">
      <alignment horizontal="center" vertical="bottom" textRotation="0" wrapText="false" shrinkToFit="false"/>
    </xf>
    <xf xfId="0" fontId="91" numFmtId="0" fillId="2" borderId="2" applyFont="1" applyNumberFormat="0" applyFill="0" applyBorder="1" applyAlignment="0">
      <alignment horizontal="general" vertical="bottom" textRotation="0" wrapText="false" shrinkToFit="false"/>
    </xf>
    <xf xfId="0" fontId="91" numFmtId="0" fillId="2" borderId="0" applyFont="1" applyNumberFormat="0" applyFill="0" applyBorder="0" applyAlignment="0">
      <alignment horizontal="general" vertical="bottom" textRotation="0" wrapText="false" shrinkToFit="false"/>
    </xf>
    <xf xfId="0" fontId="51" numFmtId="168" fillId="2" borderId="0" applyFont="1" applyNumberFormat="1" applyFill="0" applyBorder="0" applyAlignment="0">
      <alignment horizontal="general" vertical="bottom" textRotation="0" wrapText="false" shrinkToFit="false"/>
    </xf>
    <xf xfId="0" fontId="91" numFmtId="168" fillId="2" borderId="0" applyFont="1" applyNumberFormat="1" applyFill="0" applyBorder="0" applyAlignment="0">
      <alignment horizontal="general" vertical="bottom" textRotation="0" wrapText="false" shrinkToFit="false"/>
    </xf>
    <xf xfId="0" fontId="8" numFmtId="164" fillId="2" borderId="2" applyFont="1" applyNumberFormat="1" applyFill="0" applyBorder="1" applyAlignment="0">
      <alignment horizontal="general" vertical="bottom" textRotation="0" wrapText="false" shrinkToFit="false"/>
    </xf>
    <xf xfId="0" fontId="2" numFmtId="0" fillId="2" borderId="6" applyFont="1" applyNumberFormat="0" applyFill="0" applyBorder="1" applyAlignment="0">
      <alignment horizontal="general" vertical="bottom" textRotation="0" wrapText="false" shrinkToFit="false"/>
    </xf>
    <xf xfId="0" fontId="17" numFmtId="0" fillId="2" borderId="6" applyFont="1" applyNumberFormat="0" applyFill="0" applyBorder="1" applyAlignment="1">
      <alignment horizontal="left" vertical="bottom" textRotation="0" wrapText="false" shrinkToFit="false" indent="2"/>
    </xf>
    <xf xfId="0" fontId="5" numFmtId="0" fillId="2" borderId="6" applyFont="1" applyNumberFormat="0" applyFill="0" applyBorder="1" applyAlignment="0">
      <alignment horizontal="general" vertical="bottom" textRotation="0" wrapText="false" shrinkToFit="false"/>
    </xf>
    <xf xfId="0" fontId="8" numFmtId="168" fillId="2" borderId="6" applyFont="1" applyNumberFormat="1" applyFill="0" applyBorder="1" applyAlignment="0">
      <alignment horizontal="general" vertical="bottom" textRotation="0" wrapText="false" shrinkToFit="false"/>
    </xf>
    <xf xfId="0" fontId="5" numFmtId="49" fillId="2" borderId="6" applyFont="1" applyNumberFormat="1" applyFill="0" applyBorder="1" applyAlignment="1">
      <alignment horizontal="center" vertical="bottom" textRotation="0" wrapText="false" shrinkToFit="false"/>
    </xf>
    <xf xfId="0" fontId="17" numFmtId="168" fillId="2" borderId="10" applyFont="1" applyNumberFormat="1" applyFill="0" applyBorder="1" applyAlignment="0">
      <alignment horizontal="general" vertical="bottom" textRotation="0" wrapText="false" shrinkToFit="false"/>
    </xf>
    <xf xfId="0" fontId="24" numFmtId="169" fillId="2" borderId="2" applyFont="1" applyNumberFormat="1" applyFill="0" applyBorder="1" applyAlignment="0">
      <alignment horizontal="general" vertical="bottom" textRotation="0" wrapText="false" shrinkToFit="false"/>
    </xf>
    <xf xfId="0" fontId="5" numFmtId="186" fillId="2" borderId="0" applyFont="1" applyNumberFormat="1" applyFill="0" applyBorder="0" applyAlignment="0">
      <alignment horizontal="general" vertical="bottom" textRotation="0" wrapText="false" shrinkToFit="false"/>
    </xf>
    <xf xfId="0" fontId="68" numFmtId="169" fillId="2" borderId="2" applyFont="1" applyNumberFormat="1" applyFill="0" applyBorder="1" applyAlignment="0">
      <alignment horizontal="general" vertical="bottom" textRotation="0" wrapText="false" shrinkToFit="false"/>
    </xf>
    <xf xfId="0" fontId="45" numFmtId="186" fillId="2" borderId="2" applyFont="1" applyNumberFormat="1" applyFill="0" applyBorder="1" applyAlignment="0">
      <alignment horizontal="general" vertical="bottom" textRotation="0" wrapText="false" shrinkToFit="false"/>
    </xf>
    <xf xfId="0" fontId="45" numFmtId="186" fillId="2" borderId="7" applyFont="1" applyNumberFormat="1" applyFill="0" applyBorder="1" applyAlignment="0">
      <alignment horizontal="general" vertical="bottom" textRotation="0" wrapText="false" shrinkToFit="false"/>
    </xf>
    <xf xfId="0" fontId="5" numFmtId="168" fillId="2" borderId="1" applyFont="1" applyNumberFormat="1" applyFill="0" applyBorder="1" applyAlignment="1">
      <alignment horizontal="general" vertical="center" textRotation="0" wrapText="false" shrinkToFit="false"/>
    </xf>
    <xf xfId="0" fontId="8" numFmtId="164" fillId="2" borderId="3" applyFont="1" applyNumberFormat="1" applyFill="0" applyBorder="1" applyAlignment="1">
      <alignment horizontal="general" vertical="center" textRotation="0" wrapText="false" shrinkToFit="false"/>
    </xf>
    <xf xfId="0" fontId="8" numFmtId="164" fillId="2" borderId="1" applyFont="1" applyNumberFormat="1" applyFill="0" applyBorder="1" applyAlignment="1">
      <alignment horizontal="general" vertical="center" textRotation="0" wrapText="false" shrinkToFit="false"/>
    </xf>
    <xf xfId="0" fontId="43" numFmtId="168" fillId="2" borderId="0" applyFont="1" applyNumberFormat="1" applyFill="0" applyBorder="0" applyAlignment="0">
      <alignment horizontal="general" vertical="bottom" textRotation="0" wrapText="false" shrinkToFit="false"/>
    </xf>
    <xf xfId="0" fontId="60" numFmtId="168" fillId="2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92" numFmtId="168" fillId="2" borderId="0" applyFont="1" applyNumberFormat="1" applyFill="0" applyBorder="0" applyAlignment="0">
      <alignment horizontal="general" vertical="bottom" textRotation="0" wrapText="false" shrinkToFit="false"/>
    </xf>
    <xf xfId="0" fontId="93" numFmtId="168" fillId="2" borderId="0" applyFont="1" applyNumberFormat="1" applyFill="0" applyBorder="0" applyAlignment="0">
      <alignment horizontal="general" vertical="bottom" textRotation="0" wrapText="false" shrinkToFit="false"/>
    </xf>
    <xf xfId="0" fontId="93" numFmtId="0" fillId="2" borderId="0" applyFont="1" applyNumberFormat="0" applyFill="0" applyBorder="0" applyAlignment="0">
      <alignment horizontal="general" vertical="bottom" textRotation="0" wrapText="false" shrinkToFit="false"/>
    </xf>
    <xf xfId="0" fontId="94" numFmtId="0" fillId="2" borderId="0" applyFont="1" applyNumberFormat="0" applyFill="0" applyBorder="0" applyAlignment="0">
      <alignment horizontal="general" vertical="bottom" textRotation="0" wrapText="false" shrinkToFit="false"/>
    </xf>
    <xf xfId="0" fontId="51" numFmtId="168" fillId="2" borderId="0" applyFont="1" applyNumberFormat="1" applyFill="0" applyBorder="0" applyAlignment="0">
      <alignment horizontal="general" vertical="bottom" textRotation="0" wrapText="false" shrinkToFit="false"/>
    </xf>
    <xf xfId="0" fontId="8" numFmtId="178" fillId="2" borderId="2" applyFont="1" applyNumberFormat="1" applyFill="0" applyBorder="1" applyAlignment="0">
      <alignment horizontal="general" vertical="bottom" textRotation="0" wrapText="false" shrinkToFit="false"/>
    </xf>
    <xf xfId="0" fontId="8" numFmtId="178" fillId="2" borderId="0" applyFont="1" applyNumberFormat="1" applyFill="0" applyBorder="0" applyAlignment="0">
      <alignment horizontal="general" vertical="bottom" textRotation="0" wrapText="false" shrinkToFit="false"/>
    </xf>
    <xf xfId="0" fontId="24" numFmtId="186" fillId="2" borderId="0" applyFont="1" applyNumberFormat="1" applyFill="0" applyBorder="0" applyAlignment="0">
      <alignment horizontal="general" vertical="bottom" textRotation="0" wrapText="false" shrinkToFit="false"/>
    </xf>
    <xf xfId="0" fontId="24" numFmtId="178" fillId="2" borderId="2" applyFont="1" applyNumberFormat="1" applyFill="0" applyBorder="1" applyAlignment="0">
      <alignment horizontal="general" vertical="bottom" textRotation="0" wrapText="false" shrinkToFit="false"/>
    </xf>
    <xf xfId="0" fontId="24" numFmtId="178" fillId="2" borderId="0" applyFont="1" applyNumberFormat="1" applyFill="0" applyBorder="0" applyAlignment="0">
      <alignment horizontal="general" vertical="bottom" textRotation="0" wrapText="false" shrinkToFit="false"/>
    </xf>
    <xf xfId="0" fontId="5" numFmtId="168" fillId="2" borderId="1" applyFont="1" applyNumberFormat="1" applyFill="0" applyBorder="1" applyAlignment="0">
      <alignment horizontal="general" vertical="bottom" textRotation="0" wrapText="false" shrinkToFit="false"/>
    </xf>
    <xf xfId="0" fontId="5" numFmtId="0" fillId="2" borderId="3" applyFont="1" applyNumberFormat="0" applyFill="0" applyBorder="1" applyAlignment="1">
      <alignment horizontal="center" vertical="bottom" textRotation="0" wrapText="false" shrinkToFit="false"/>
    </xf>
    <xf xfId="0" fontId="5" numFmtId="169" fillId="2" borderId="3" applyFont="1" applyNumberFormat="1" applyFill="0" applyBorder="1" applyAlignment="0">
      <alignment horizontal="general" vertical="bottom" textRotation="0" wrapText="false" shrinkToFit="false"/>
    </xf>
    <xf xfId="0" fontId="39" numFmtId="168" fillId="2" borderId="0" applyFont="1" applyNumberFormat="1" applyFill="0" applyBorder="0" applyAlignment="1">
      <alignment horizontal="left" vertical="center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4" numFmtId="168" fillId="2" borderId="0" applyFont="1" applyNumberFormat="1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69" numFmtId="0" fillId="2" borderId="6" applyFont="1" applyNumberFormat="0" applyFill="0" applyBorder="1" applyAlignment="0">
      <alignment horizontal="general" vertical="bottom" textRotation="0" wrapText="false" shrinkToFit="false"/>
    </xf>
    <xf xfId="0" fontId="6" numFmtId="0" fillId="2" borderId="6" applyFont="1" applyNumberFormat="0" applyFill="0" applyBorder="1" applyAlignment="1">
      <alignment horizontal="left" vertical="bottom" textRotation="0" wrapText="false" shrinkToFit="false"/>
    </xf>
    <xf xfId="0" fontId="24" numFmtId="187" fillId="2" borderId="5" applyFont="1" applyNumberFormat="1" applyFill="0" applyBorder="1" applyAlignment="1">
      <alignment horizontal="center" vertical="bottom" textRotation="0" wrapText="false" shrinkToFit="false"/>
    </xf>
    <xf xfId="0" fontId="24" numFmtId="187" fillId="2" borderId="6" applyFont="1" applyNumberFormat="1" applyFill="0" applyBorder="1" applyAlignment="1">
      <alignment horizontal="center" vertical="bottom" textRotation="0" wrapText="false" shrinkToFit="false"/>
    </xf>
    <xf xfId="0" fontId="24" numFmtId="187" fillId="2" borderId="12" applyFont="1" applyNumberFormat="1" applyFill="0" applyBorder="1" applyAlignment="1">
      <alignment horizontal="center" vertical="bottom" textRotation="0" wrapText="false" shrinkToFit="false"/>
    </xf>
    <xf xfId="0" fontId="43" numFmtId="171" fillId="2" borderId="0" applyFont="1" applyNumberFormat="1" applyFill="0" applyBorder="0" applyAlignment="1">
      <alignment horizontal="left" vertical="bottom" textRotation="0" wrapText="false" shrinkToFit="false"/>
    </xf>
    <xf xfId="0" fontId="43" numFmtId="171" fillId="2" borderId="0" applyFont="1" applyNumberFormat="1" applyFill="0" applyBorder="0" applyAlignment="0">
      <alignment horizontal="general" vertical="bottom" textRotation="0" wrapText="false" shrinkToFit="false"/>
    </xf>
    <xf xfId="0" fontId="43" numFmtId="0" fillId="2" borderId="0" applyFont="1" applyNumberFormat="0" applyFill="0" applyBorder="0" applyAlignment="1">
      <alignment horizontal="left" vertical="bottom" textRotation="0" wrapText="false" shrinkToFit="false"/>
    </xf>
    <xf xfId="0" fontId="24" numFmtId="187" fillId="2" borderId="2" applyFont="1" applyNumberFormat="1" applyFill="0" applyBorder="1" applyAlignment="1">
      <alignment horizontal="center" vertical="bottom" textRotation="0" wrapText="false" shrinkToFit="false"/>
    </xf>
    <xf xfId="0" fontId="24" numFmtId="187" fillId="2" borderId="0" applyFont="1" applyNumberFormat="1" applyFill="0" applyBorder="0" applyAlignment="1">
      <alignment horizontal="center" vertical="bottom" textRotation="0" wrapText="false" shrinkToFit="false"/>
    </xf>
    <xf xfId="0" fontId="24" numFmtId="187" fillId="2" borderId="7" applyFont="1" applyNumberFormat="1" applyFill="0" applyBorder="1" applyAlignment="1">
      <alignment horizontal="center" vertical="bottom" textRotation="0" wrapText="false" shrinkToFit="false"/>
    </xf>
    <xf xfId="0" fontId="16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95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164" fillId="2" borderId="2" applyFont="1" applyNumberFormat="1" applyFill="0" applyBorder="1" applyAlignment="1">
      <alignment horizontal="general" vertical="center" textRotation="0" wrapText="false" shrinkToFit="false"/>
    </xf>
    <xf xfId="0" fontId="5" numFmtId="164" fillId="2" borderId="0" applyFont="1" applyNumberFormat="1" applyFill="0" applyBorder="0" applyAlignment="1">
      <alignment horizontal="general" vertical="center" textRotation="0" wrapText="false" shrinkToFit="false"/>
    </xf>
    <xf xfId="0" fontId="5" numFmtId="0" fillId="2" borderId="7" applyFont="1" applyNumberFormat="0" applyFill="0" applyBorder="1" applyAlignment="1">
      <alignment horizontal="general" vertical="center" textRotation="0" wrapText="false" shrinkToFit="false"/>
    </xf>
    <xf xfId="0" fontId="5" numFmtId="171" fillId="2" borderId="0" applyFont="1" applyNumberFormat="1" applyFill="0" applyBorder="0" applyAlignment="1">
      <alignment horizontal="general" vertical="center" textRotation="0" wrapText="false" shrinkToFit="false"/>
    </xf>
    <xf xfId="0" fontId="5" numFmtId="164" fillId="2" borderId="2" applyFont="1" applyNumberFormat="1" applyFill="0" applyBorder="1" applyAlignment="1">
      <alignment horizontal="center" vertical="center" textRotation="0" wrapText="false" shrinkToFit="false"/>
    </xf>
    <xf xfId="0" fontId="5" numFmtId="164" fillId="2" borderId="7" applyFont="1" applyNumberFormat="1" applyFill="0" applyBorder="1" applyAlignment="1">
      <alignment horizontal="center" vertical="center" textRotation="0" wrapText="false" shrinkToFit="false"/>
    </xf>
    <xf xfId="0" fontId="5" numFmtId="164" fillId="2" borderId="0" applyFont="1" applyNumberFormat="1" applyFill="0" applyBorder="0" applyAlignment="1">
      <alignment horizontal="center" vertical="center" textRotation="0" wrapText="false" shrinkToFit="false"/>
    </xf>
    <xf xfId="0" fontId="5" numFmtId="175" fillId="2" borderId="7" applyFont="1" applyNumberFormat="1" applyFill="0" applyBorder="1" applyAlignment="1">
      <alignment horizontal="general" vertical="center" textRotation="0" wrapText="false" shrinkToFit="false"/>
    </xf>
    <xf xfId="0" fontId="5" numFmtId="178" fillId="2" borderId="2" applyFont="1" applyNumberFormat="1" applyFill="0" applyBorder="1" applyAlignment="1">
      <alignment horizontal="center" vertical="center" textRotation="0" wrapText="false" shrinkToFit="false"/>
    </xf>
    <xf xfId="0" fontId="5" numFmtId="169" fillId="2" borderId="7" applyFont="1" applyNumberFormat="1" applyFill="0" applyBorder="1" applyAlignment="1">
      <alignment horizontal="center" vertical="center" textRotation="0" wrapText="false" shrinkToFit="false"/>
    </xf>
    <xf xfId="0" fontId="5" numFmtId="169" fillId="2" borderId="0" applyFont="1" applyNumberFormat="1" applyFill="0" applyBorder="0" applyAlignment="1">
      <alignment horizontal="center" vertical="center" textRotation="0" wrapText="false" shrinkToFit="false"/>
    </xf>
    <xf xfId="0" fontId="5" numFmtId="169" fillId="2" borderId="7" applyFont="1" applyNumberFormat="1" applyFill="0" applyBorder="1" applyAlignment="1">
      <alignment horizontal="general" vertical="center" textRotation="0" wrapText="false" shrinkToFit="false"/>
    </xf>
    <xf xfId="0" fontId="8" numFmtId="169" fillId="2" borderId="7" applyFont="1" applyNumberFormat="1" applyFill="0" applyBorder="1" applyAlignment="1">
      <alignment horizontal="center" vertical="center" textRotation="0" wrapText="false" shrinkToFit="false"/>
    </xf>
    <xf xfId="0" fontId="8" numFmtId="169" fillId="2" borderId="0" applyFont="1" applyNumberFormat="1" applyFill="0" applyBorder="0" applyAlignment="1">
      <alignment horizontal="center" vertical="center" textRotation="0" wrapText="false" shrinkToFit="false"/>
    </xf>
    <xf xfId="0" fontId="8" numFmtId="169" fillId="2" borderId="7" applyFont="1" applyNumberFormat="1" applyFill="0" applyBorder="1" applyAlignment="1">
      <alignment horizontal="general" vertical="center" textRotation="0" wrapText="false" shrinkToFit="false"/>
    </xf>
    <xf xfId="0" fontId="45" numFmtId="177" fillId="2" borderId="2" applyFont="1" applyNumberFormat="1" applyFill="0" applyBorder="1" applyAlignment="1">
      <alignment horizontal="general" vertical="center" textRotation="0" wrapText="false" shrinkToFit="false"/>
    </xf>
    <xf xfId="0" fontId="24" numFmtId="177" fillId="2" borderId="7" applyFont="1" applyNumberFormat="1" applyFill="0" applyBorder="1" applyAlignment="1">
      <alignment horizontal="general" vertical="center" textRotation="0" wrapText="false" shrinkToFit="false"/>
    </xf>
    <xf xfId="0" fontId="6" numFmtId="171" fillId="2" borderId="0" applyFont="1" applyNumberFormat="1" applyFill="0" applyBorder="0" applyAlignment="1">
      <alignment horizontal="left" vertical="bottom" textRotation="0" wrapText="false" shrinkToFit="false"/>
    </xf>
    <xf xfId="0" fontId="6" numFmtId="171" fillId="2" borderId="0" applyFont="1" applyNumberFormat="1" applyFill="0" applyBorder="0" applyAlignment="1">
      <alignment horizontal="general" vertical="center" textRotation="0" wrapText="false" shrinkToFit="false"/>
    </xf>
    <xf xfId="0" fontId="6" numFmtId="0" fillId="2" borderId="0" applyFont="1" applyNumberFormat="0" applyFill="0" applyBorder="0" applyAlignment="1">
      <alignment horizontal="left" vertical="bottom" textRotation="0" wrapText="false" shrinkToFit="false"/>
    </xf>
    <xf xfId="0" fontId="45" numFmtId="177" fillId="2" borderId="0" applyFont="1" applyNumberFormat="1" applyFill="0" applyBorder="0" applyAlignment="1">
      <alignment horizontal="general" vertical="center" textRotation="0" wrapText="false" shrinkToFit="false"/>
    </xf>
    <xf xfId="0" fontId="24" numFmtId="177" fillId="2" borderId="7" applyFont="1" applyNumberFormat="1" applyFill="0" applyBorder="1" applyAlignment="1">
      <alignment horizontal="center" vertical="center" textRotation="0" wrapText="false" shrinkToFit="false"/>
    </xf>
    <xf xfId="0" fontId="5" numFmtId="178" fillId="2" borderId="7" applyFont="1" applyNumberFormat="1" applyFill="0" applyBorder="1" applyAlignment="1">
      <alignment horizontal="center" vertical="center" textRotation="0" wrapText="false" shrinkToFit="false"/>
    </xf>
    <xf xfId="0" fontId="5" numFmtId="178" fillId="2" borderId="0" applyFont="1" applyNumberFormat="1" applyFill="0" applyBorder="0" applyAlignment="1">
      <alignment horizontal="center" vertical="center" textRotation="0" wrapText="false" shrinkToFit="false"/>
    </xf>
    <xf xfId="0" fontId="8" numFmtId="178" fillId="2" borderId="7" applyFont="1" applyNumberFormat="1" applyFill="0" applyBorder="1" applyAlignment="1">
      <alignment horizontal="center" vertical="center" textRotation="0" wrapText="false" shrinkToFit="false"/>
    </xf>
    <xf xfId="0" fontId="8" numFmtId="178" fillId="2" borderId="2" applyFont="1" applyNumberFormat="1" applyFill="0" applyBorder="1" applyAlignment="1">
      <alignment horizontal="center" vertical="center" textRotation="0" wrapText="false" shrinkToFit="false"/>
    </xf>
    <xf xfId="0" fontId="8" numFmtId="178" fillId="2" borderId="0" applyFont="1" applyNumberFormat="1" applyFill="0" applyBorder="0" applyAlignment="1">
      <alignment horizontal="center" vertical="center" textRotation="0" wrapText="false" shrinkToFit="false"/>
    </xf>
    <xf xfId="0" fontId="45" numFmtId="177" fillId="2" borderId="3" applyFont="1" applyNumberFormat="1" applyFill="0" applyBorder="1" applyAlignment="1">
      <alignment horizontal="general" vertical="center" textRotation="0" wrapText="false" shrinkToFit="false"/>
    </xf>
    <xf xfId="0" fontId="45" numFmtId="177" fillId="2" borderId="1" applyFont="1" applyNumberFormat="1" applyFill="0" applyBorder="1" applyAlignment="1">
      <alignment horizontal="general" vertical="center" textRotation="0" wrapText="false" shrinkToFit="false"/>
    </xf>
    <xf xfId="0" fontId="24" numFmtId="177" fillId="2" borderId="4" applyFont="1" applyNumberFormat="1" applyFill="0" applyBorder="1" applyAlignment="1">
      <alignment horizontal="general" vertical="center" textRotation="0" wrapText="false" shrinkToFit="false"/>
    </xf>
    <xf xfId="0" fontId="5" numFmtId="168" fillId="2" borderId="2" applyFont="1" applyNumberFormat="1" applyFill="0" applyBorder="1" applyAlignment="1">
      <alignment horizontal="center" vertical="center" textRotation="0" wrapText="false" shrinkToFit="false"/>
    </xf>
    <xf xfId="0" fontId="5" numFmtId="168" fillId="2" borderId="7" applyFont="1" applyNumberFormat="1" applyFill="0" applyBorder="1" applyAlignment="1">
      <alignment horizontal="center" vertical="center" textRotation="0" wrapText="false" shrinkToFit="false"/>
    </xf>
    <xf xfId="0" fontId="5" numFmtId="168" fillId="2" borderId="0" applyFont="1" applyNumberFormat="1" applyFill="0" applyBorder="0" applyAlignment="1">
      <alignment horizontal="center" vertical="center" textRotation="0" wrapText="false" shrinkToFit="false"/>
    </xf>
    <xf xfId="0" fontId="5" numFmtId="188" fillId="2" borderId="7" applyFont="1" applyNumberFormat="1" applyFill="0" applyBorder="1" applyAlignment="1">
      <alignment horizontal="general" vertical="center" textRotation="0" wrapText="false" shrinkToFit="false"/>
    </xf>
    <xf xfId="0" fontId="70" numFmtId="169" fillId="2" borderId="7" applyFont="1" applyNumberFormat="1" applyFill="0" applyBorder="1" applyAlignment="1">
      <alignment horizontal="general" vertical="center" textRotation="0" wrapText="false" shrinkToFit="false"/>
    </xf>
    <xf xfId="0" fontId="45" numFmtId="177" fillId="2" borderId="7" applyFont="1" applyNumberFormat="1" applyFill="0" applyBorder="1" applyAlignment="1">
      <alignment horizontal="center" vertical="center" textRotation="0" wrapText="false" shrinkToFit="false"/>
    </xf>
    <xf xfId="0" fontId="5" numFmtId="177" fillId="2" borderId="7" applyFont="1" applyNumberFormat="1" applyFill="0" applyBorder="1" applyAlignment="1">
      <alignment horizontal="center" vertical="center" textRotation="0" wrapText="false" shrinkToFit="false"/>
    </xf>
    <xf xfId="0" fontId="5" numFmtId="177" fillId="2" borderId="7" applyFont="1" applyNumberFormat="1" applyFill="0" applyBorder="1" applyAlignment="1">
      <alignment horizontal="general" vertical="center" textRotation="0" wrapText="false" shrinkToFit="false"/>
    </xf>
    <xf xfId="0" fontId="5" numFmtId="173" fillId="2" borderId="7" applyFont="1" applyNumberFormat="1" applyFill="0" applyBorder="1" applyAlignment="1">
      <alignment horizontal="general" vertical="center" textRotation="0" wrapText="false" shrinkToFit="false"/>
    </xf>
    <xf xfId="0" fontId="70" numFmtId="173" fillId="2" borderId="7" applyFont="1" applyNumberFormat="1" applyFill="0" applyBorder="1" applyAlignment="1">
      <alignment horizontal="general" vertical="center" textRotation="0" wrapText="false" shrinkToFit="false"/>
    </xf>
    <xf xfId="0" fontId="45" numFmtId="177" fillId="2" borderId="7" applyFont="1" applyNumberFormat="1" applyFill="0" applyBorder="1" applyAlignment="1">
      <alignment horizontal="general" vertical="center" textRotation="0" wrapText="false" shrinkToFit="false"/>
    </xf>
    <xf xfId="0" fontId="96" numFmtId="171" fillId="2" borderId="0" applyFont="1" applyNumberFormat="1" applyFill="0" applyBorder="0" applyAlignment="1">
      <alignment horizontal="left" vertical="bottom" textRotation="0" wrapText="false" shrinkToFit="false"/>
    </xf>
    <xf xfId="0" fontId="7" numFmtId="0" fillId="2" borderId="1" applyFont="1" applyNumberFormat="0" applyFill="0" applyBorder="1" applyAlignment="0">
      <alignment horizontal="general" vertical="bottom" textRotation="0" wrapText="false" shrinkToFit="false"/>
    </xf>
    <xf xfId="0" fontId="8" numFmtId="164" fillId="2" borderId="3" applyFont="1" applyNumberFormat="1" applyFill="0" applyBorder="1" applyAlignment="0">
      <alignment horizontal="general" vertical="bottom" textRotation="0" wrapText="false" shrinkToFit="false"/>
    </xf>
    <xf xfId="0" fontId="8" numFmtId="164" fillId="2" borderId="1" applyFont="1" applyNumberFormat="1" applyFill="0" applyBorder="1" applyAlignment="0">
      <alignment horizontal="general" vertical="bottom" textRotation="0" wrapText="false" shrinkToFit="false"/>
    </xf>
    <xf xfId="0" fontId="8" numFmtId="164" fillId="2" borderId="4" applyFont="1" applyNumberFormat="1" applyFill="0" applyBorder="1" applyAlignment="0">
      <alignment horizontal="general" vertical="bottom" textRotation="0" wrapText="false" shrinkToFit="false"/>
    </xf>
    <xf xfId="0" fontId="77" numFmtId="171" fillId="2" borderId="0" applyFont="1" applyNumberFormat="1" applyFill="0" applyBorder="0" applyAlignment="1">
      <alignment horizontal="left" vertical="bottom" textRotation="0" wrapText="false" shrinkToFit="false"/>
    </xf>
    <xf xfId="0" fontId="5" numFmtId="14" fillId="2" borderId="7" applyFont="1" applyNumberFormat="1" applyFill="0" applyBorder="1" applyAlignment="0">
      <alignment horizontal="general" vertical="bottom" textRotation="0" wrapText="false" shrinkToFit="false"/>
    </xf>
    <xf xfId="0" fontId="5" numFmtId="168" fillId="2" borderId="13" applyFont="1" applyNumberFormat="1" applyFill="0" applyBorder="1" applyAlignment="1">
      <alignment horizontal="center" vertical="bottom" textRotation="0" wrapText="false" shrinkToFit="false"/>
    </xf>
    <xf xfId="0" fontId="61" numFmtId="0" fillId="2" borderId="7" applyFont="1" applyNumberFormat="0" applyFill="0" applyBorder="1" applyAlignment="0">
      <alignment horizontal="general" vertical="bottom" textRotation="0" wrapText="false" shrinkToFit="false"/>
    </xf>
    <xf xfId="0" fontId="97" numFmtId="168" fillId="2" borderId="7" applyFont="1" applyNumberFormat="1" applyFill="0" applyBorder="1" applyAlignment="0">
      <alignment horizontal="general" vertical="bottom" textRotation="0" wrapText="false" shrinkToFit="false"/>
    </xf>
    <xf xfId="0" fontId="5" numFmtId="0" fillId="2" borderId="7" applyFont="1" applyNumberFormat="0" applyFill="0" applyBorder="1" applyAlignment="0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5" numFmtId="186" fillId="2" borderId="13" applyFont="1" applyNumberFormat="1" applyFill="0" applyBorder="1" applyAlignment="0">
      <alignment horizontal="general" vertical="bottom" textRotation="0" wrapText="false" shrinkToFit="false"/>
    </xf>
    <xf xfId="0" fontId="5" numFmtId="186" fillId="2" borderId="7" applyFont="1" applyNumberFormat="1" applyFill="0" applyBorder="1" applyAlignment="0">
      <alignment horizontal="general" vertical="bottom" textRotation="0" wrapText="false" shrinkToFit="false"/>
    </xf>
    <xf xfId="0" fontId="27" numFmtId="168" fillId="2" borderId="0" applyFont="1" applyNumberFormat="1" applyFill="0" applyBorder="0" applyAlignment="0">
      <alignment horizontal="general" vertical="bottom" textRotation="0" wrapText="false" shrinkToFit="false"/>
    </xf>
    <xf xfId="0" fontId="2" numFmtId="186" fillId="2" borderId="0" applyFont="1" applyNumberFormat="1" applyFill="0" applyBorder="0" applyAlignment="0">
      <alignment horizontal="general" vertical="bottom" textRotation="0" wrapText="false" shrinkToFit="false"/>
    </xf>
    <xf xfId="0" fontId="5" numFmtId="168" fillId="2" borderId="13" applyFont="1" applyNumberFormat="1" applyFill="0" applyBorder="1" applyAlignment="0">
      <alignment horizontal="general" vertical="bottom" textRotation="0" wrapText="false" shrinkToFit="false"/>
    </xf>
    <xf xfId="0" fontId="8" numFmtId="168" fillId="2" borderId="13" applyFont="1" applyNumberFormat="1" applyFill="0" applyBorder="1" applyAlignment="0">
      <alignment horizontal="general" vertical="bottom" textRotation="0" wrapText="false" shrinkToFit="false"/>
    </xf>
    <xf xfId="0" fontId="8" numFmtId="169" fillId="2" borderId="0" applyFont="1" applyNumberFormat="1" applyFill="0" applyBorder="0" applyAlignment="0">
      <alignment horizontal="general" vertical="bottom" textRotation="0" wrapText="false" shrinkToFit="false"/>
    </xf>
    <xf xfId="0" fontId="6" numFmtId="0" fillId="2" borderId="4" applyFont="1" applyNumberFormat="0" applyFill="0" applyBorder="1" applyAlignment="1">
      <alignment horizontal="center" vertical="bottom" textRotation="0" wrapText="false" shrinkToFit="false"/>
    </xf>
    <xf xfId="0" fontId="24" numFmtId="186" fillId="2" borderId="4" applyFont="1" applyNumberFormat="1" applyFill="0" applyBorder="1" applyAlignment="0">
      <alignment horizontal="general" vertical="bottom" textRotation="0" wrapText="false" shrinkToFit="false"/>
    </xf>
    <xf xfId="0" fontId="28" numFmtId="168" fillId="2" borderId="0" applyFont="1" applyNumberFormat="1" applyFill="0" applyBorder="0" applyAlignment="0">
      <alignment horizontal="general" vertical="bottom" textRotation="0" wrapText="false" shrinkToFit="false"/>
    </xf>
    <xf xfId="0" fontId="14" numFmtId="168" fillId="2" borderId="0" applyFont="1" applyNumberFormat="1" applyFill="0" applyBorder="0" applyAlignment="0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center" vertical="bottom" textRotation="0" wrapText="false" shrinkToFit="false"/>
    </xf>
    <xf xfId="0" fontId="24" numFmtId="186" fillId="2" borderId="7" applyFont="1" applyNumberFormat="1" applyFill="0" applyBorder="1" applyAlignment="0">
      <alignment horizontal="general" vertical="bottom" textRotation="0" wrapText="false" shrinkToFit="false"/>
    </xf>
    <xf xfId="0" fontId="6" numFmtId="0" fillId="2" borderId="6" applyFont="1" applyNumberFormat="0" applyFill="0" applyBorder="1" applyAlignment="0">
      <alignment horizontal="general" vertical="bottom" textRotation="0" wrapText="false" shrinkToFit="false"/>
    </xf>
    <xf xfId="0" fontId="6" numFmtId="0" fillId="2" borderId="6" applyFont="1" applyNumberFormat="0" applyFill="0" applyBorder="1" applyAlignment="1">
      <alignment horizontal="center" vertical="bottom" textRotation="0" wrapText="false" shrinkToFit="false"/>
    </xf>
    <xf xfId="0" fontId="24" numFmtId="186" fillId="2" borderId="6" applyFont="1" applyNumberFormat="1" applyFill="0" applyBorder="1" applyAlignment="0">
      <alignment horizontal="general" vertical="bottom" textRotation="0" wrapText="false" shrinkToFit="false"/>
    </xf>
    <xf xfId="0" fontId="7" numFmtId="0" fillId="2" borderId="7" applyFont="1" applyNumberFormat="0" applyFill="0" applyBorder="1" applyAlignment="1">
      <alignment horizontal="center" vertical="bottom" textRotation="0" wrapText="false" shrinkToFit="false"/>
    </xf>
    <xf xfId="0" fontId="7" numFmtId="0" fillId="2" borderId="13" applyFont="1" applyNumberFormat="0" applyFill="0" applyBorder="1" applyAlignment="1">
      <alignment horizontal="center" vertical="bottom" textRotation="0" wrapText="false" shrinkToFit="false"/>
    </xf>
    <xf xfId="0" fontId="98" numFmtId="0" fillId="2" borderId="7" applyFont="1" applyNumberFormat="0" applyFill="0" applyBorder="1" applyAlignment="0">
      <alignment horizontal="general" vertical="bottom" textRotation="0" wrapText="false" shrinkToFit="false"/>
    </xf>
    <xf xfId="0" fontId="5" numFmtId="49" fillId="2" borderId="7" applyFont="1" applyNumberFormat="1" applyFill="0" applyBorder="1" applyAlignment="1">
      <alignment horizontal="center" vertical="bottom" textRotation="0" wrapText="false" shrinkToFit="false"/>
    </xf>
    <xf xfId="0" fontId="5" numFmtId="189" fillId="2" borderId="13" applyFont="1" applyNumberFormat="1" applyFill="0" applyBorder="1" applyAlignment="0">
      <alignment horizontal="general" vertical="bottom" textRotation="0" wrapText="false" shrinkToFit="false"/>
    </xf>
    <xf xfId="0" fontId="5" numFmtId="189" fillId="2" borderId="7" applyFont="1" applyNumberFormat="1" applyFill="0" applyBorder="1" applyAlignment="0">
      <alignment horizontal="general" vertical="bottom" textRotation="0" wrapText="false" shrinkToFit="false"/>
    </xf>
    <xf xfId="0" fontId="17" numFmtId="169" fillId="2" borderId="0" applyFont="1" applyNumberFormat="1" applyFill="0" applyBorder="0" applyAlignment="0">
      <alignment horizontal="general" vertical="bottom" textRotation="0" wrapText="false" shrinkToFit="false"/>
    </xf>
    <xf xfId="0" fontId="19" numFmtId="169" fillId="2" borderId="0" applyFont="1" applyNumberFormat="1" applyFill="0" applyBorder="0" applyAlignment="0">
      <alignment horizontal="general" vertical="bottom" textRotation="0" wrapText="false" shrinkToFit="false"/>
    </xf>
    <xf xfId="0" fontId="8" numFmtId="189" fillId="2" borderId="13" applyFont="1" applyNumberFormat="1" applyFill="0" applyBorder="1" applyAlignment="0">
      <alignment horizontal="general" vertical="bottom" textRotation="0" wrapText="false" shrinkToFit="false"/>
    </xf>
    <xf xfId="0" fontId="8" numFmtId="189" fillId="2" borderId="7" applyFont="1" applyNumberFormat="1" applyFill="0" applyBorder="1" applyAlignment="0">
      <alignment horizontal="general" vertical="bottom" textRotation="0" wrapText="false" shrinkToFit="false"/>
    </xf>
    <xf xfId="0" fontId="6" numFmtId="0" fillId="2" borderId="1" applyFont="1" applyNumberFormat="0" applyFill="0" applyBorder="1" applyAlignment="1">
      <alignment horizontal="left" vertical="bottom" textRotation="0" wrapText="false" shrinkToFit="false" indent="1"/>
    </xf>
    <xf xfId="0" fontId="6" numFmtId="49" fillId="2" borderId="4" applyFont="1" applyNumberFormat="1" applyFill="0" applyBorder="1" applyAlignment="1">
      <alignment horizontal="center" vertical="bottom" textRotation="0" wrapText="false" shrinkToFit="false"/>
    </xf>
    <xf xfId="0" fontId="28" numFmtId="168" fillId="2" borderId="0" applyFont="1" applyNumberFormat="1" applyFill="0" applyBorder="0" applyAlignment="0">
      <alignment horizontal="general" vertical="bottom" textRotation="0" wrapText="false" shrinkToFit="false"/>
    </xf>
    <xf xfId="0" fontId="88" numFmtId="0" fillId="2" borderId="0" applyFont="1" applyNumberFormat="0" applyFill="0" applyBorder="0" applyAlignment="1">
      <alignment horizontal="center" vertical="bottom" textRotation="0" wrapText="false" shrinkToFit="false"/>
    </xf>
    <xf xfId="0" fontId="99" numFmtId="0" fillId="2" borderId="0" applyFont="1" applyNumberFormat="0" applyFill="0" applyBorder="0" applyAlignment="0">
      <alignment horizontal="general" vertical="bottom" textRotation="0" wrapText="false" shrinkToFit="false"/>
    </xf>
    <xf xfId="0" fontId="99" numFmtId="49" fillId="2" borderId="2" applyFont="1" applyNumberFormat="1" applyFill="0" applyBorder="1" applyAlignment="1">
      <alignment horizontal="center" vertical="bottom" textRotation="0" wrapText="false" shrinkToFit="false"/>
    </xf>
    <xf xfId="0" fontId="99" numFmtId="168" fillId="2" borderId="2" applyFont="1" applyNumberFormat="1" applyFill="0" applyBorder="1" applyAlignment="0">
      <alignment horizontal="general" vertical="bottom" textRotation="0" wrapText="false" shrinkToFit="false"/>
    </xf>
    <xf xfId="0" fontId="99" numFmtId="168" fillId="2" borderId="0" applyFont="1" applyNumberFormat="1" applyFill="0" applyBorder="0" applyAlignment="0">
      <alignment horizontal="general" vertical="bottom" textRotation="0" wrapText="false" shrinkToFit="false"/>
    </xf>
    <xf xfId="0" fontId="100" numFmtId="168" fillId="2" borderId="0" applyFont="1" applyNumberFormat="1" applyFill="0" applyBorder="0" applyAlignment="0">
      <alignment horizontal="general" vertical="bottom" textRotation="0" wrapText="false" shrinkToFit="false"/>
    </xf>
    <xf xfId="0" fontId="101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7" fillId="2" borderId="2" applyFont="1" applyNumberFormat="1" applyFill="0" applyBorder="1" applyAlignment="0">
      <alignment horizontal="general" vertical="bottom" textRotation="0" wrapText="false" shrinkToFit="false"/>
    </xf>
    <xf xfId="0" fontId="5" numFmtId="167" fillId="2" borderId="0" applyFont="1" applyNumberFormat="1" applyFill="0" applyBorder="0" applyAlignment="0">
      <alignment horizontal="general" vertical="bottom" textRotation="0" wrapText="false" shrinkToFit="false"/>
    </xf>
    <xf xfId="0" fontId="2" numFmtId="168" fillId="2" borderId="0" applyFont="1" applyNumberFormat="1" applyFill="0" applyBorder="0" applyAlignment="0">
      <alignment horizontal="general" vertical="bottom" textRotation="0" wrapText="false" shrinkToFit="false"/>
    </xf>
    <xf xfId="0" fontId="19" numFmtId="168" fillId="2" borderId="0" applyFont="1" applyNumberFormat="1" applyFill="0" applyBorder="0" applyAlignment="0">
      <alignment horizontal="general" vertical="bottom" textRotation="0" wrapText="false" shrinkToFit="false"/>
    </xf>
    <xf xfId="0" fontId="43" numFmtId="168" fillId="2" borderId="0" applyFont="1" applyNumberFormat="1" applyFill="0" applyBorder="0" applyAlignment="0">
      <alignment horizontal="general" vertical="bottom" textRotation="0" wrapText="false" shrinkToFit="false"/>
    </xf>
    <xf xfId="0" fontId="31" numFmtId="168" fillId="2" borderId="0" applyFont="1" applyNumberFormat="1" applyFill="0" applyBorder="0" applyAlignment="0">
      <alignment horizontal="general" vertical="bottom" textRotation="0" wrapText="false" shrinkToFit="false"/>
    </xf>
    <xf xfId="0" fontId="28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189" fillId="2" borderId="2" applyFont="1" applyNumberFormat="1" applyFill="0" applyBorder="1" applyAlignment="0">
      <alignment horizontal="general" vertical="bottom" textRotation="0" wrapText="false" shrinkToFit="false"/>
    </xf>
    <xf xfId="0" fontId="5" numFmtId="189" fillId="2" borderId="2" applyFont="1" applyNumberFormat="1" applyFill="0" applyBorder="1" applyAlignment="0">
      <alignment horizontal="general" vertical="bottom" textRotation="0" wrapText="false" shrinkToFit="false"/>
    </xf>
    <xf xfId="0" fontId="5" numFmtId="189" fillId="2" borderId="0" applyFont="1" applyNumberFormat="1" applyFill="0" applyBorder="0" applyAlignment="0">
      <alignment horizontal="general" vertical="bottom" textRotation="0" wrapText="false" shrinkToFit="false"/>
    </xf>
    <xf xfId="0" fontId="5" numFmtId="169" fillId="2" borderId="7" applyFont="1" applyNumberFormat="1" applyFill="0" applyBorder="1" applyAlignment="0">
      <alignment horizontal="general" vertical="bottom" textRotation="0" wrapText="false" shrinkToFit="false"/>
    </xf>
    <xf xfId="0" fontId="28" numFmtId="169" fillId="2" borderId="0" applyFont="1" applyNumberFormat="1" applyFill="0" applyBorder="0" applyAlignment="0">
      <alignment horizontal="general" vertical="bottom" textRotation="0" wrapText="false" shrinkToFit="false"/>
    </xf>
    <xf xfId="0" fontId="8" numFmtId="167" fillId="2" borderId="2" applyFont="1" applyNumberFormat="1" applyFill="0" applyBorder="1" applyAlignment="0">
      <alignment horizontal="general" vertical="bottom" textRotation="0" wrapText="false" shrinkToFit="false"/>
    </xf>
    <xf xfId="0" fontId="8" numFmtId="167" fillId="2" borderId="0" applyFont="1" applyNumberFormat="1" applyFill="0" applyBorder="0" applyAlignment="0">
      <alignment horizontal="general" vertical="bottom" textRotation="0" wrapText="false" shrinkToFit="false"/>
    </xf>
    <xf xfId="0" fontId="24" numFmtId="168" fillId="2" borderId="7" applyFont="1" applyNumberFormat="1" applyFill="0" applyBorder="1" applyAlignment="0">
      <alignment horizontal="general" vertical="bottom" textRotation="0" wrapText="false" shrinkToFit="false"/>
    </xf>
    <xf xfId="0" fontId="14" numFmtId="169" fillId="2" borderId="0" applyFont="1" applyNumberFormat="1" applyFill="0" applyBorder="0" applyAlignment="0">
      <alignment horizontal="general" vertical="bottom" textRotation="0" wrapText="false" shrinkToFit="false"/>
    </xf>
    <xf xfId="0" fontId="34" numFmtId="168" fillId="2" borderId="1" applyFont="1" applyNumberFormat="1" applyFill="0" applyBorder="1" applyAlignment="0">
      <alignment horizontal="general" vertical="bottom" textRotation="0" wrapText="false" shrinkToFit="false"/>
    </xf>
    <xf xfId="0" fontId="102" numFmtId="164" fillId="2" borderId="0" applyFont="1" applyNumberFormat="1" applyFill="0" applyBorder="0" applyAlignment="0">
      <alignment horizontal="general" vertical="bottom" textRotation="0" wrapText="false" shrinkToFit="false"/>
    </xf>
    <xf xfId="0" fontId="102" numFmtId="168" fillId="2" borderId="0" applyFont="1" applyNumberFormat="1" applyFill="0" applyBorder="0" applyAlignment="0">
      <alignment horizontal="general" vertical="bottom" textRotation="0" wrapText="false" shrinkToFit="false"/>
    </xf>
    <xf xfId="0" fontId="78" numFmtId="168" fillId="2" borderId="0" applyFont="1" applyNumberFormat="1" applyFill="0" applyBorder="0" applyAlignment="0">
      <alignment horizontal="general" vertical="bottom" textRotation="0" wrapText="false" shrinkToFit="false"/>
    </xf>
    <xf xfId="0" fontId="78" numFmtId="168" fillId="2" borderId="0" applyFont="1" applyNumberFormat="1" applyFill="0" applyBorder="0" applyAlignment="0">
      <alignment horizontal="general" vertical="bottom" textRotation="0" wrapText="false" shrinkToFit="false"/>
    </xf>
    <xf xfId="0" fontId="103" numFmtId="0" fillId="2" borderId="0" applyFont="1" applyNumberFormat="0" applyFill="0" applyBorder="0" applyAlignment="1">
      <alignment horizontal="left" vertical="center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8" numFmtId="164" fillId="2" borderId="5" applyFont="1" applyNumberFormat="1" applyFill="0" applyBorder="1" applyAlignment="0">
      <alignment horizontal="general" vertical="bottom" textRotation="0" wrapText="false" shrinkToFit="false"/>
    </xf>
    <xf xfId="0" fontId="29" numFmtId="168" fillId="2" borderId="5" applyFont="1" applyNumberFormat="1" applyFill="0" applyBorder="1" applyAlignment="0">
      <alignment horizontal="general" vertical="bottom" textRotation="0" wrapText="false" shrinkToFit="false"/>
    </xf>
    <xf xfId="0" fontId="100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5" numFmtId="169" fillId="2" borderId="2" applyFont="1" applyNumberFormat="1" applyFill="0" applyBorder="1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20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169" fillId="2" borderId="7" applyFont="1" applyNumberFormat="1" applyFill="0" applyBorder="1" applyAlignment="1">
      <alignment horizontal="center" vertical="bottom" textRotation="0" wrapText="false" shrinkToFit="false"/>
    </xf>
    <xf xfId="0" fontId="5" numFmtId="169" fillId="2" borderId="7" applyFont="1" applyNumberFormat="1" applyFill="0" applyBorder="1" applyAlignment="0">
      <alignment horizontal="general" vertical="bottom" textRotation="0" wrapText="false" shrinkToFit="false"/>
    </xf>
    <xf xfId="0" fontId="8" numFmtId="169" fillId="2" borderId="2" applyFont="1" applyNumberFormat="1" applyFill="0" applyBorder="1" applyAlignment="1">
      <alignment horizontal="center" vertical="bottom" textRotation="0" wrapText="false" shrinkToFit="false"/>
    </xf>
    <xf xfId="0" fontId="8" numFmtId="169" fillId="2" borderId="7" applyFont="1" applyNumberFormat="1" applyFill="0" applyBorder="1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22" numFmtId="0" fillId="2" borderId="0" applyFont="1" applyNumberFormat="0" applyFill="0" applyBorder="0" applyAlignment="0">
      <alignment horizontal="general" vertical="bottom" textRotation="0" wrapText="false" shrinkToFit="false"/>
    </xf>
    <xf xfId="0" fontId="24" numFmtId="169" fillId="2" borderId="2" applyFont="1" applyNumberFormat="1" applyFill="0" applyBorder="1" applyAlignment="1">
      <alignment horizontal="center" vertical="bottom" textRotation="0" wrapText="false" shrinkToFit="false"/>
    </xf>
    <xf xfId="0" fontId="24" numFmtId="169" fillId="2" borderId="7" applyFont="1" applyNumberFormat="1" applyFill="0" applyBorder="1" applyAlignment="1">
      <alignment horizontal="center" vertical="bottom" textRotation="0" wrapText="false" shrinkToFit="false"/>
    </xf>
    <xf xfId="0" fontId="6" numFmtId="168" fillId="2" borderId="0" applyFont="1" applyNumberFormat="1" applyFill="0" applyBorder="0" applyAlignment="0">
      <alignment horizontal="general" vertical="bottom" textRotation="0" wrapText="false" shrinkToFit="false"/>
    </xf>
    <xf xfId="0" fontId="17" numFmtId="0" fillId="2" borderId="1" applyFont="1" applyNumberFormat="0" applyFill="0" applyBorder="1" applyAlignment="0">
      <alignment horizontal="general" vertical="bottom" textRotation="0" wrapText="false" shrinkToFit="false"/>
    </xf>
    <xf xfId="0" fontId="20" numFmtId="168" fillId="2" borderId="1" applyFont="1" applyNumberFormat="1" applyFill="0" applyBorder="1" applyAlignment="0">
      <alignment horizontal="general" vertical="bottom" textRotation="0" wrapText="false" shrinkToFit="false"/>
    </xf>
    <xf xfId="0" fontId="5" numFmtId="169" fillId="2" borderId="3" applyFont="1" applyNumberFormat="1" applyFill="0" applyBorder="1" applyAlignment="1">
      <alignment horizontal="center" vertical="bottom" textRotation="0" wrapText="false" shrinkToFit="false"/>
    </xf>
    <xf xfId="0" fontId="5" numFmtId="169" fillId="2" borderId="4" applyFont="1" applyNumberFormat="1" applyFill="0" applyBorder="1" applyAlignment="1">
      <alignment horizontal="center" vertical="bottom" textRotation="0" wrapText="false" shrinkToFit="false"/>
    </xf>
    <xf xfId="0" fontId="8" numFmtId="169" fillId="2" borderId="7" applyFont="1" applyNumberFormat="1" applyFill="0" applyBorder="1" applyAlignment="0">
      <alignment horizontal="general" vertical="bottom" textRotation="0" wrapText="false" shrinkToFit="false"/>
    </xf>
    <xf xfId="0" fontId="43" numFmtId="0" fillId="2" borderId="2" applyFont="1" applyNumberFormat="0" applyFill="0" applyBorder="1" applyAlignment="1">
      <alignment horizontal="center" vertical="bottom" textRotation="0" wrapText="false" shrinkToFit="false"/>
    </xf>
    <xf xfId="0" fontId="43" numFmtId="168" fillId="2" borderId="0" applyFont="1" applyNumberFormat="1" applyFill="0" applyBorder="0" applyAlignment="0">
      <alignment horizontal="general" vertical="bottom" textRotation="0" wrapText="false" shrinkToFit="false"/>
    </xf>
    <xf xfId="0" fontId="43" numFmtId="0" fillId="2" borderId="0" applyFont="1" applyNumberFormat="0" applyFill="0" applyBorder="0" applyAlignment="0">
      <alignment horizontal="general" vertical="bottom" textRotation="0" wrapText="false" shrinkToFit="false"/>
    </xf>
    <xf xfId="0" fontId="22" numFmtId="0" fillId="2" borderId="1" applyFont="1" applyNumberFormat="0" applyFill="0" applyBorder="1" applyAlignment="0">
      <alignment horizontal="general" vertical="bottom" textRotation="0" wrapText="false" shrinkToFit="false"/>
    </xf>
    <xf xfId="0" fontId="43" numFmtId="0" fillId="2" borderId="3" applyFont="1" applyNumberFormat="0" applyFill="0" applyBorder="1" applyAlignment="1">
      <alignment horizontal="center" vertical="bottom" textRotation="0" wrapText="false" shrinkToFit="false"/>
    </xf>
    <xf xfId="0" fontId="24" numFmtId="169" fillId="2" borderId="3" applyFont="1" applyNumberFormat="1" applyFill="0" applyBorder="1" applyAlignment="1">
      <alignment horizontal="center" vertical="bottom" textRotation="0" wrapText="false" shrinkToFit="false"/>
    </xf>
    <xf xfId="0" fontId="24" numFmtId="169" fillId="2" borderId="4" applyFont="1" applyNumberFormat="1" applyFill="0" applyBorder="1" applyAlignment="1">
      <alignment horizontal="center" vertical="bottom" textRotation="0" wrapText="false" shrinkToFit="false"/>
    </xf>
    <xf xfId="0" fontId="8" numFmtId="169" fillId="2" borderId="2" applyFont="1" applyNumberFormat="1" applyFill="0" applyBorder="1" applyAlignment="0">
      <alignment horizontal="general" vertical="bottom" textRotation="0" wrapText="false" shrinkToFit="false"/>
    </xf>
    <xf xfId="0" fontId="24" numFmtId="169" fillId="2" borderId="0" applyFont="1" applyNumberFormat="1" applyFill="0" applyBorder="0" applyAlignment="1">
      <alignment horizontal="center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bottom" textRotation="0" wrapText="false" shrinkToFit="false" indent="4"/>
    </xf>
    <xf xfId="0" fontId="17" numFmtId="0" fillId="2" borderId="1" applyFont="1" applyNumberFormat="0" applyFill="0" applyBorder="1" applyAlignment="1">
      <alignment horizontal="left" vertical="bottom" textRotation="0" wrapText="false" shrinkToFit="false" indent="4"/>
    </xf>
    <xf xfId="0" fontId="8" numFmtId="169" fillId="2" borderId="3" applyFont="1" applyNumberFormat="1" applyFill="0" applyBorder="1" applyAlignment="0">
      <alignment horizontal="general" vertical="bottom" textRotation="0" wrapText="false" shrinkToFit="false"/>
    </xf>
    <xf xfId="0" fontId="8" numFmtId="169" fillId="2" borderId="1" applyFont="1" applyNumberFormat="1" applyFill="0" applyBorder="1" applyAlignment="0">
      <alignment horizontal="general" vertical="bottom" textRotation="0" wrapText="false" shrinkToFit="false"/>
    </xf>
    <xf xfId="0" fontId="90" numFmtId="0" fillId="2" borderId="9" applyFont="1" applyNumberFormat="0" applyFill="0" applyBorder="1" applyAlignment="1">
      <alignment horizontal="left" vertical="center" textRotation="0" wrapText="false" shrinkToFit="false"/>
    </xf>
    <xf xfId="0" fontId="90" numFmtId="0" fillId="2" borderId="9" applyFont="1" applyNumberFormat="0" applyFill="0" applyBorder="1" applyAlignment="1">
      <alignment horizontal="left" vertical="center" textRotation="0" wrapText="false" shrinkToFit="false" indent="2"/>
    </xf>
    <xf xfId="0" fontId="90" quotePrefix="1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68" numFmtId="169" fillId="2" borderId="7" applyFont="1" applyNumberFormat="1" applyFill="0" applyBorder="1" applyAlignment="0">
      <alignment horizontal="general" vertical="bottom" textRotation="0" wrapText="false" shrinkToFit="false"/>
    </xf>
    <xf xfId="0" fontId="5" numFmtId="169" fillId="2" borderId="2" applyFont="1" applyNumberFormat="1" applyFill="0" applyBorder="1" applyAlignment="0">
      <alignment horizontal="general" vertical="bottom" textRotation="0" wrapText="false" shrinkToFit="false"/>
    </xf>
    <xf xfId="0" fontId="39" numFmtId="0" fillId="2" borderId="1" applyFont="1" applyNumberFormat="0" applyFill="0" applyBorder="1" applyAlignment="1">
      <alignment horizontal="general" vertical="center" textRotation="0" wrapText="false" shrinkToFit="false"/>
    </xf>
    <xf xfId="0" fontId="5" numFmtId="169" fillId="2" borderId="3" applyFont="1" applyNumberFormat="1" applyFill="0" applyBorder="1" applyAlignment="0">
      <alignment horizontal="general" vertical="bottom" textRotation="0" wrapText="false" shrinkToFit="false"/>
    </xf>
    <xf xfId="0" fontId="5" numFmtId="169" fillId="2" borderId="4" applyFont="1" applyNumberFormat="1" applyFill="0" applyBorder="1" applyAlignment="0">
      <alignment horizontal="general" vertical="bottom" textRotation="0" wrapText="false" shrinkToFit="false"/>
    </xf>
    <xf xfId="0" fontId="11" numFmtId="168" fillId="2" borderId="2" applyFont="1" applyNumberFormat="1" applyFill="0" applyBorder="1" applyAlignment="0">
      <alignment horizontal="general" vertical="bottom" textRotation="0" wrapText="false" shrinkToFit="false"/>
    </xf>
    <xf xfId="0" fontId="9" numFmtId="168" fillId="2" borderId="0" applyFont="1" applyNumberFormat="1" applyFill="0" applyBorder="0" applyAlignment="0">
      <alignment horizontal="general" vertical="bottom" textRotation="0" wrapText="false" shrinkToFit="false"/>
    </xf>
    <xf xfId="0" fontId="9" numFmtId="168" fillId="2" borderId="0" applyFont="1" applyNumberFormat="1" applyFill="0" applyBorder="0" applyAlignment="0">
      <alignment horizontal="general" vertical="bottom" textRotation="0" wrapText="false" shrinkToFit="false"/>
    </xf>
    <xf xfId="0" fontId="45" numFmtId="169" fillId="2" borderId="2" applyFont="1" applyNumberFormat="1" applyFill="0" applyBorder="1" applyAlignment="1">
      <alignment horizontal="center" vertical="bottom" textRotation="0" wrapText="false" shrinkToFit="false"/>
    </xf>
    <xf xfId="0" fontId="45" numFmtId="169" fillId="2" borderId="7" applyFont="1" applyNumberFormat="1" applyFill="0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168" fillId="2" borderId="1" applyFont="0" applyNumberFormat="1" applyFill="0" applyBorder="1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47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justify" textRotation="0" wrapText="true" shrinkToFit="false"/>
    </xf>
    <xf xfId="0" fontId="4" numFmtId="0" fillId="2" borderId="0" applyFont="1" applyNumberFormat="0" applyFill="0" applyBorder="0" applyAlignment="1">
      <alignment horizontal="general" vertical="top" textRotation="0" wrapText="false" shrinkToFit="false"/>
    </xf>
    <xf xfId="0" fontId="4" numFmtId="0" fillId="2" borderId="0" applyFont="1" applyNumberFormat="0" applyFill="0" applyBorder="0" applyAlignment="1">
      <alignment horizontal="general" vertical="top" textRotation="0" wrapText="true" shrinkToFit="false"/>
    </xf>
    <xf xfId="0" fontId="97" numFmtId="168" fillId="2" borderId="0" applyFont="1" applyNumberFormat="1" applyFill="0" applyBorder="0" applyAlignment="0">
      <alignment horizontal="general" vertical="bottom" textRotation="0" wrapText="false" shrinkToFit="false"/>
    </xf>
    <xf xfId="0" fontId="97" numFmtId="168" fillId="2" borderId="14" applyFont="1" applyNumberFormat="1" applyFill="0" applyBorder="1" applyAlignment="0">
      <alignment horizontal="general" vertical="bottom" textRotation="0" wrapText="false" shrinkToFit="false"/>
    </xf>
    <xf xfId="0" fontId="7" numFmtId="14" fillId="2" borderId="2" applyFont="1" applyNumberFormat="1" applyFill="0" applyBorder="1" applyAlignment="0">
      <alignment horizontal="general" vertical="bottom" textRotation="0" wrapText="false" shrinkToFit="false"/>
    </xf>
    <xf xfId="0" fontId="7" numFmtId="168" fillId="2" borderId="2" applyFont="1" applyNumberFormat="1" applyFill="0" applyBorder="1" applyAlignment="1">
      <alignment horizontal="center" vertical="bottom" textRotation="0" wrapText="false" shrinkToFit="false"/>
    </xf>
    <xf xfId="0" fontId="65" numFmtId="0" fillId="2" borderId="2" applyFont="1" applyNumberFormat="0" applyFill="0" applyBorder="1" applyAlignment="0">
      <alignment horizontal="general" vertical="bottom" textRotation="0" wrapText="false" shrinkToFit="false"/>
    </xf>
    <xf xfId="0" fontId="65" numFmtId="168" fillId="2" borderId="0" applyFont="1" applyNumberFormat="1" applyFill="0" applyBorder="0" applyAlignment="0">
      <alignment horizontal="general" vertical="bottom" textRotation="0" wrapText="false" shrinkToFit="false"/>
    </xf>
    <xf xfId="0" fontId="7" numFmtId="0" fillId="2" borderId="2" applyFont="1" applyNumberFormat="0" applyFill="0" applyBorder="1" applyAlignment="0">
      <alignment horizontal="general" vertical="bottom" textRotation="0" wrapText="false" shrinkToFit="false"/>
    </xf>
    <xf xfId="0" fontId="7" numFmtId="168" fillId="2" borderId="2" applyFont="1" applyNumberFormat="1" applyFill="0" applyBorder="1" applyAlignment="0">
      <alignment horizontal="general" vertical="bottom" textRotation="0" wrapText="false" shrinkToFit="false"/>
    </xf>
    <xf xfId="0" fontId="14" numFmtId="168" fillId="2" borderId="0" applyFont="1" applyNumberFormat="1" applyFill="0" applyBorder="0" applyAlignment="0">
      <alignment horizontal="general" vertical="bottom" textRotation="0" wrapText="false" shrinkToFit="false"/>
    </xf>
    <xf xfId="0" fontId="61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177" fillId="2" borderId="2" applyFont="1" applyNumberFormat="1" applyFill="0" applyBorder="1" applyAlignment="0">
      <alignment horizontal="general" vertical="bottom" textRotation="0" wrapText="false" shrinkToFit="false"/>
    </xf>
    <xf xfId="0" fontId="5" numFmtId="177" fillId="2" borderId="9" applyFont="1" applyNumberFormat="1" applyFill="0" applyBorder="1" applyAlignment="0">
      <alignment horizontal="general" vertical="bottom" textRotation="0" wrapText="false" shrinkToFit="false"/>
    </xf>
    <xf xfId="0" fontId="5" numFmtId="190" fillId="2" borderId="9" applyFont="1" applyNumberFormat="1" applyFill="0" applyBorder="1" applyAlignment="0">
      <alignment horizontal="general" vertical="bottom" textRotation="0" wrapText="false" shrinkToFit="false"/>
    </xf>
    <xf xfId="0" fontId="5" numFmtId="190" fillId="2" borderId="0" applyFont="1" applyNumberFormat="1" applyFill="0" applyBorder="0" applyAlignment="0">
      <alignment horizontal="general" vertical="bottom" textRotation="0" wrapText="false" shrinkToFit="false"/>
    </xf>
    <xf xfId="0" fontId="5" numFmtId="190" fillId="2" borderId="2" applyFont="1" applyNumberFormat="1" applyFill="0" applyBorder="1" applyAlignment="1">
      <alignment horizontal="center" vertical="bottom" textRotation="0" wrapText="false" shrinkToFit="false"/>
    </xf>
    <xf xfId="0" fontId="5" numFmtId="190" fillId="2" borderId="2" applyFont="1" applyNumberFormat="1" applyFill="0" applyBorder="1" applyAlignment="0">
      <alignment horizontal="general" vertical="bottom" textRotation="0" wrapText="false" shrinkToFit="false"/>
    </xf>
    <xf xfId="0" fontId="51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9" fillId="2" borderId="2" applyFont="1" applyNumberFormat="1" applyFill="0" applyBorder="1" applyAlignment="1">
      <alignment horizontal="center" vertical="bottom" textRotation="0" wrapText="false" shrinkToFit="false"/>
    </xf>
    <xf xfId="0" fontId="45" numFmtId="164" fillId="2" borderId="2" applyFont="1" applyNumberFormat="1" applyFill="0" applyBorder="1" applyAlignment="0">
      <alignment horizontal="general" vertical="bottom" textRotation="0" wrapText="false" shrinkToFit="false"/>
    </xf>
    <xf xfId="0" fontId="45" numFmtId="164" fillId="2" borderId="7" applyFont="1" applyNumberFormat="1" applyFill="0" applyBorder="1" applyAlignment="0">
      <alignment horizontal="general" vertical="bottom" textRotation="0" wrapText="false" shrinkToFit="false"/>
    </xf>
    <xf xfId="0" fontId="0" numFmtId="14" fillId="2" borderId="2" applyFont="0" applyNumberFormat="1" applyFill="0" applyBorder="1" applyAlignment="0">
      <alignment horizontal="general" vertical="bottom" textRotation="0" wrapText="false" shrinkToFit="false"/>
    </xf>
    <xf xfId="0" fontId="0" numFmtId="168" fillId="2" borderId="2" applyFont="0" applyNumberFormat="1" applyFill="0" applyBorder="1" applyAlignment="1">
      <alignment horizontal="left" vertical="bottom" textRotation="0" wrapText="false" shrinkToFit="false"/>
    </xf>
    <xf xfId="0" fontId="5" numFmtId="164" fillId="2" borderId="2" applyFont="1" applyNumberFormat="1" applyFill="0" applyBorder="1" applyAlignment="1">
      <alignment horizontal="left" vertical="bottom" textRotation="0" wrapText="false" shrinkToFit="false"/>
    </xf>
    <xf xfId="0" fontId="5" numFmtId="164" fillId="2" borderId="0" applyFont="1" applyNumberFormat="1" applyFill="0" applyBorder="0" applyAlignment="1">
      <alignment horizontal="left" vertical="bottom" textRotation="0" wrapText="false" shrinkToFit="false"/>
    </xf>
    <xf xfId="0" fontId="5" numFmtId="168" fillId="2" borderId="2" applyFont="1" applyNumberFormat="1" applyFill="0" applyBorder="1" applyAlignment="1">
      <alignment horizontal="left" vertical="bottom" textRotation="0" wrapText="false" shrinkToFit="false"/>
    </xf>
    <xf xfId="0" fontId="24" numFmtId="175" fillId="2" borderId="4" applyFont="1" applyNumberFormat="1" applyFill="0" applyBorder="1" applyAlignment="1">
      <alignment horizontal="left" vertical="bottom" textRotation="0" wrapText="false" shrinkToFit="false"/>
    </xf>
    <xf xfId="0" fontId="51" numFmtId="0" fillId="2" borderId="2" applyFont="1" applyNumberFormat="0" applyFill="0" applyBorder="1" applyAlignment="1">
      <alignment horizontal="left" vertical="bottom" textRotation="0" wrapText="false" shrinkToFit="false"/>
    </xf>
    <xf xfId="0" fontId="104" numFmtId="0" fillId="2" borderId="0" applyFont="1" applyNumberFormat="0" applyFill="0" applyBorder="0" applyAlignment="1">
      <alignment horizontal="left" vertical="bottom" textRotation="0" wrapText="false" shrinkToFit="false"/>
    </xf>
    <xf xfId="0" fontId="104" numFmtId="0" fillId="2" borderId="2" applyFont="1" applyNumberFormat="0" applyFill="0" applyBorder="1" applyAlignment="1">
      <alignment horizontal="left" vertical="bottom" textRotation="0" wrapText="false" shrinkToFit="false"/>
    </xf>
    <xf xfId="0" fontId="5" numFmtId="191" fillId="2" borderId="0" applyFont="1" applyNumberFormat="1" applyFill="0" applyBorder="0" applyAlignment="1">
      <alignment horizontal="left" vertical="bottom" textRotation="0" wrapText="false" shrinkToFit="false"/>
    </xf>
    <xf xfId="0" fontId="5" numFmtId="191" fillId="2" borderId="2" applyFont="1" applyNumberFormat="1" applyFill="0" applyBorder="1" applyAlignment="1">
      <alignment horizontal="left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true" shrinkToFit="false"/>
    </xf>
    <xf xfId="0" fontId="5" numFmtId="166" fillId="2" borderId="0" applyFont="1" applyNumberFormat="1" applyFill="0" applyBorder="0" applyAlignment="1">
      <alignment horizontal="left" vertical="bottom" textRotation="0" wrapText="false" shrinkToFit="false"/>
    </xf>
    <xf xfId="0" fontId="8" numFmtId="166" fillId="2" borderId="0" applyFont="1" applyNumberFormat="1" applyFill="0" applyBorder="0" applyAlignment="1">
      <alignment horizontal="left" vertical="bottom" textRotation="0" wrapText="false" shrinkToFit="false"/>
    </xf>
    <xf xfId="0" fontId="24" numFmtId="175" fillId="2" borderId="2" applyFont="1" applyNumberFormat="1" applyFill="0" applyBorder="1" applyAlignment="1">
      <alignment horizontal="left" vertical="bottom" textRotation="0" wrapText="false" shrinkToFit="false"/>
    </xf>
    <xf xfId="0" fontId="24" numFmtId="175" fillId="2" borderId="0" applyFont="1" applyNumberFormat="1" applyFill="0" applyBorder="0" applyAlignment="1">
      <alignment horizontal="left" vertical="bottom" textRotation="0" wrapText="false" shrinkToFit="false"/>
    </xf>
    <xf xfId="0" fontId="24" numFmtId="175" fillId="2" borderId="7" applyFont="1" applyNumberFormat="1" applyFill="0" applyBorder="1" applyAlignment="1">
      <alignment horizontal="left" vertical="bottom" textRotation="0" wrapText="false" shrinkToFit="false"/>
    </xf>
    <xf xfId="0" fontId="6" numFmtId="175" fillId="2" borderId="0" applyFont="1" applyNumberFormat="1" applyFill="0" applyBorder="0" applyAlignment="0">
      <alignment horizontal="general" vertical="bottom" textRotation="0" wrapText="false" shrinkToFit="false"/>
    </xf>
    <xf xfId="0" fontId="39" numFmtId="175" fillId="2" borderId="0" applyFont="1" applyNumberFormat="1" applyFill="0" applyBorder="0" applyAlignment="0">
      <alignment horizontal="general" vertical="bottom" textRotation="0" wrapText="false" shrinkToFit="false"/>
    </xf>
    <xf xfId="0" fontId="5" numFmtId="175" fillId="2" borderId="2" applyFont="1" applyNumberFormat="1" applyFill="0" applyBorder="1" applyAlignment="1">
      <alignment horizontal="center" vertical="bottom" textRotation="0" wrapText="false" shrinkToFit="false"/>
    </xf>
    <xf xfId="0" fontId="6" numFmtId="175" fillId="2" borderId="1" applyFont="1" applyNumberFormat="1" applyFill="0" applyBorder="1" applyAlignment="0">
      <alignment horizontal="general" vertical="bottom" textRotation="0" wrapText="false" shrinkToFit="false"/>
    </xf>
    <xf xfId="0" fontId="39" numFmtId="175" fillId="2" borderId="1" applyFont="1" applyNumberFormat="1" applyFill="0" applyBorder="1" applyAlignment="0">
      <alignment horizontal="general" vertical="bottom" textRotation="0" wrapText="false" shrinkToFit="false"/>
    </xf>
    <xf xfId="0" fontId="5" numFmtId="175" fillId="2" borderId="3" applyFont="1" applyNumberFormat="1" applyFill="0" applyBorder="1" applyAlignment="1">
      <alignment horizontal="center" vertical="bottom" textRotation="0" wrapText="false" shrinkToFit="false"/>
    </xf>
    <xf xfId="0" fontId="5" numFmtId="175" fillId="2" borderId="0" applyFont="1" applyNumberFormat="1" applyFill="0" applyBorder="0" applyAlignment="1">
      <alignment horizontal="center" vertical="bottom" textRotation="0" wrapText="false" shrinkToFit="false"/>
    </xf>
    <xf xfId="0" fontId="69" numFmtId="175" fillId="2" borderId="0" applyFont="1" applyNumberFormat="1" applyFill="0" applyBorder="0" applyAlignment="0">
      <alignment horizontal="general" vertical="bottom" textRotation="0" wrapText="false" shrinkToFit="false"/>
    </xf>
    <xf xfId="0" fontId="105" numFmtId="175" fillId="2" borderId="0" applyFont="1" applyNumberFormat="1" applyFill="0" applyBorder="0" applyAlignment="0">
      <alignment horizontal="general" vertical="bottom" textRotation="0" wrapText="false" shrinkToFit="false"/>
    </xf>
    <xf xfId="0" fontId="51" numFmtId="175" fillId="2" borderId="2" applyFont="1" applyNumberFormat="1" applyFill="0" applyBorder="1" applyAlignment="1">
      <alignment horizontal="center" vertical="bottom" textRotation="0" wrapText="false" shrinkToFit="false"/>
    </xf>
    <xf xfId="0" fontId="70" numFmtId="175" fillId="2" borderId="2" applyFont="1" applyNumberFormat="1" applyFill="0" applyBorder="1" applyAlignment="1">
      <alignment horizontal="left" vertical="bottom" textRotation="0" wrapText="false" shrinkToFit="false"/>
    </xf>
    <xf xfId="0" fontId="70" numFmtId="175" fillId="2" borderId="0" applyFont="1" applyNumberFormat="1" applyFill="0" applyBorder="0" applyAlignment="1">
      <alignment horizontal="left" vertical="bottom" textRotation="0" wrapText="false" shrinkToFit="false"/>
    </xf>
    <xf xfId="0" fontId="45" numFmtId="175" fillId="2" borderId="2" applyFont="1" applyNumberFormat="1" applyFill="0" applyBorder="1" applyAlignment="1">
      <alignment horizontal="left" vertical="bottom" textRotation="0" wrapText="false" shrinkToFit="false"/>
    </xf>
    <xf xfId="0" fontId="45" numFmtId="175" fillId="2" borderId="0" applyFont="1" applyNumberFormat="1" applyFill="0" applyBorder="0" applyAlignment="1">
      <alignment horizontal="left" vertical="bottom" textRotation="0" wrapText="false" shrinkToFit="false"/>
    </xf>
    <xf xfId="0" fontId="43" numFmtId="164" fillId="2" borderId="3" applyFont="1" applyNumberFormat="1" applyFill="0" applyBorder="1" applyAlignment="1">
      <alignment horizontal="left" vertical="bottom" textRotation="0" wrapText="false" shrinkToFit="false"/>
    </xf>
    <xf xfId="0" fontId="43" numFmtId="0" fillId="2" borderId="3" applyFont="1" applyNumberFormat="0" applyFill="0" applyBorder="1" applyAlignment="0">
      <alignment horizontal="general" vertical="bottom" textRotation="0" wrapText="false" shrinkToFit="false"/>
    </xf>
    <xf xfId="0" fontId="0" numFmtId="168" fillId="2" borderId="2" applyFont="0" applyNumberFormat="1" applyFill="0" applyBorder="1" applyAlignment="1">
      <alignment horizontal="center" vertical="bottom" textRotation="0" wrapText="false" shrinkToFit="false"/>
    </xf>
    <xf xfId="0" fontId="67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68" fillId="2" borderId="2" applyFont="0" applyNumberFormat="1" applyFill="0" applyBorder="1" applyAlignment="0">
      <alignment horizontal="general" vertical="bottom" textRotation="0" wrapText="false" shrinkToFit="false"/>
    </xf>
    <xf xfId="0" fontId="5" numFmtId="164" fillId="2" borderId="7" applyFont="1" applyNumberFormat="1" applyFill="0" applyBorder="1" applyAlignment="0">
      <alignment horizontal="general" vertical="bottom" textRotation="0" wrapText="false" shrinkToFit="false"/>
    </xf>
    <xf xfId="0" fontId="6" numFmtId="0" fillId="2" borderId="1" applyFont="1" applyNumberFormat="0" applyFill="0" applyBorder="1" applyAlignment="1">
      <alignment horizontal="center" vertical="bottom" textRotation="0" wrapText="false" shrinkToFit="false"/>
    </xf>
    <xf xfId="0" fontId="106" numFmtId="0" fillId="2" borderId="0" applyFont="1" applyNumberFormat="0" applyFill="0" applyBorder="0" applyAlignment="0">
      <alignment horizontal="general" vertical="bottom" textRotation="0" wrapText="false" shrinkToFit="false"/>
    </xf>
    <xf xfId="0" fontId="24" numFmtId="164" fillId="2" borderId="3" applyFont="1" applyNumberFormat="1" applyFill="0" applyBorder="1" applyAlignment="1">
      <alignment horizontal="center" vertical="bottom" textRotation="0" wrapText="false" shrinkToFit="false"/>
    </xf>
    <xf xfId="0" fontId="24" numFmtId="164" fillId="2" borderId="4" applyFont="1" applyNumberFormat="1" applyFill="0" applyBorder="1" applyAlignment="1">
      <alignment horizontal="center" vertical="bottom" textRotation="0" wrapText="false" shrinkToFit="false"/>
    </xf>
    <xf xfId="0" fontId="24" numFmtId="164" fillId="2" borderId="0" applyFont="1" applyNumberFormat="1" applyFill="0" applyBorder="0" applyAlignment="1">
      <alignment horizontal="center" vertical="bottom" textRotation="0" wrapText="false" shrinkToFit="false"/>
    </xf>
    <xf xfId="0" fontId="52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92" fillId="2" borderId="2" applyFont="1" applyNumberFormat="1" applyFill="0" applyBorder="1" applyAlignment="0">
      <alignment horizontal="general" vertical="bottom" textRotation="0" wrapText="false" shrinkToFit="false"/>
    </xf>
    <xf xfId="0" fontId="5" numFmtId="192" fillId="2" borderId="0" applyFont="1" applyNumberFormat="1" applyFill="0" applyBorder="0" applyAlignment="0">
      <alignment horizontal="general" vertical="bottom" textRotation="0" wrapText="false" shrinkToFit="false"/>
    </xf>
    <xf xfId="0" fontId="8" numFmtId="169" fillId="2" borderId="2" applyFont="1" applyNumberFormat="1" applyFill="0" applyBorder="1" applyAlignment="1">
      <alignment horizontal="center" vertical="bottom" textRotation="0" wrapText="false" shrinkToFit="false"/>
    </xf>
    <xf xfId="0" fontId="24" numFmtId="164" fillId="2" borderId="0" applyFont="1" applyNumberFormat="1" applyFill="0" applyBorder="0" applyAlignment="1">
      <alignment horizontal="general" vertical="center" textRotation="0" wrapText="false" shrinkToFit="false"/>
    </xf>
    <xf xfId="0" fontId="17" numFmtId="168" fillId="2" borderId="0" applyFont="1" applyNumberFormat="1" applyFill="0" applyBorder="0" applyAlignment="1">
      <alignment horizontal="center" vertical="bottom" textRotation="0" wrapText="false" shrinkToFit="false"/>
    </xf>
    <xf xfId="0" fontId="98" numFmtId="0" fillId="2" borderId="2" applyFont="1" applyNumberFormat="0" applyFill="0" applyBorder="1" applyAlignment="0">
      <alignment horizontal="general" vertical="bottom" textRotation="0" wrapText="false" shrinkToFit="false"/>
    </xf>
    <xf xfId="0" fontId="5" numFmtId="169" fillId="2" borderId="2" applyFont="1" applyNumberFormat="1" applyFill="0" applyBorder="1" applyAlignment="0">
      <alignment horizontal="general" vertical="bottom" textRotation="0" wrapText="false" shrinkToFit="false"/>
    </xf>
    <xf xfId="0" fontId="5" numFmtId="169" fillId="2" borderId="0" applyFont="1" applyNumberFormat="1" applyFill="0" applyBorder="0" applyAlignment="0">
      <alignment horizontal="general" vertical="bottom" textRotation="0" wrapText="false" shrinkToFit="false"/>
    </xf>
    <xf xfId="0" fontId="5" numFmtId="169" fillId="2" borderId="0" applyFont="1" applyNumberFormat="1" applyFill="0" applyBorder="0" applyAlignment="1">
      <alignment horizontal="center" vertical="bottom" textRotation="0" wrapText="false" shrinkToFit="false"/>
    </xf>
    <xf xfId="0" fontId="8" numFmtId="169" fillId="2" borderId="0" applyFont="1" applyNumberFormat="1" applyFill="0" applyBorder="0" applyAlignment="1">
      <alignment horizontal="center" vertical="bottom" textRotation="0" wrapText="false" shrinkToFit="false"/>
    </xf>
    <xf xfId="0" fontId="90" numFmtId="0" fillId="2" borderId="0" applyFont="1" applyNumberFormat="0" applyFill="0" applyBorder="0" applyAlignment="1">
      <alignment horizontal="left" vertical="bottom" textRotation="0" wrapText="false" shrinkToFit="false" indent="4"/>
    </xf>
    <xf xfId="0" fontId="90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2"/>
    </xf>
    <xf xfId="0" fontId="90" numFmtId="0" fillId="2" borderId="0" applyFont="1" applyNumberFormat="0" applyFill="0" applyBorder="0" applyAlignment="1">
      <alignment horizontal="left" vertical="center" textRotation="0" wrapText="false" shrinkToFit="false" indent="4"/>
    </xf>
    <xf xfId="0" fontId="24" numFmtId="169" fillId="2" borderId="1" applyFont="1" applyNumberFormat="1" applyFill="0" applyBorder="1" applyAlignment="1">
      <alignment horizontal="center" vertical="bottom" textRotation="0" wrapText="false" shrinkToFit="false"/>
    </xf>
    <xf xfId="0" fontId="45" numFmtId="169" fillId="2" borderId="0" applyFont="1" applyNumberFormat="1" applyFill="0" applyBorder="0" applyAlignment="1">
      <alignment horizontal="center" vertical="bottom" textRotation="0" wrapText="false" shrinkToFit="false"/>
    </xf>
    <xf xfId="0" fontId="7" numFmtId="0" fillId="2" borderId="2" applyFont="1" applyNumberFormat="0" applyFill="0" applyBorder="1" applyAlignment="1">
      <alignment horizontal="center" vertical="center" textRotation="0" wrapText="false" shrinkToFit="false"/>
    </xf>
    <xf xfId="0" fontId="5" numFmtId="168" fillId="2" borderId="0" applyFont="1" applyNumberFormat="1" applyFill="0" applyBorder="0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false" shrinkToFit="false"/>
    </xf>
    <xf xfId="0" fontId="5" numFmtId="186" fillId="2" borderId="2" applyFont="1" applyNumberFormat="1" applyFill="0" applyBorder="1" applyAlignment="0">
      <alignment horizontal="general" vertical="bottom" textRotation="0" wrapText="false" shrinkToFit="false"/>
    </xf>
    <xf xfId="0" fontId="5" numFmtId="186" fillId="2" borderId="0" applyFont="1" applyNumberFormat="1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right" vertical="bottom" textRotation="0" wrapText="false" shrinkToFit="false"/>
    </xf>
    <xf xfId="0" fontId="24" numFmtId="186" fillId="2" borderId="2" applyFont="1" applyNumberFormat="1" applyFill="0" applyBorder="1" applyAlignment="1">
      <alignment horizontal="center" vertical="bottom" textRotation="0" wrapText="false" shrinkToFit="false"/>
    </xf>
    <xf xfId="0" fontId="24" numFmtId="186" fillId="2" borderId="7" applyFont="1" applyNumberFormat="1" applyFill="0" applyBorder="1" applyAlignment="1">
      <alignment horizontal="center" vertical="bottom" textRotation="0" wrapText="false" shrinkToFit="false"/>
    </xf>
    <xf xfId="0" fontId="17" numFmtId="0" fillId="2" borderId="1" applyFont="1" applyNumberFormat="0" applyFill="0" applyBorder="1" applyAlignment="1">
      <alignment horizontal="left" vertical="bottom" textRotation="0" wrapText="false" shrinkToFit="false" indent="1"/>
    </xf>
    <xf xfId="0" fontId="24" numFmtId="186" fillId="2" borderId="2" applyFont="1" applyNumberFormat="1" applyFill="0" applyBorder="1" applyAlignment="0">
      <alignment horizontal="general" vertical="bottom" textRotation="0" wrapText="false" shrinkToFit="false"/>
    </xf>
    <xf xfId="0" fontId="77" numFmtId="164" fillId="2" borderId="2" applyFont="1" applyNumberFormat="1" applyFill="0" applyBorder="1" applyAlignment="0">
      <alignment horizontal="general" vertical="bottom" textRotation="0" wrapText="false" shrinkToFit="false"/>
    </xf>
    <xf xfId="0" fontId="45" numFmtId="186" fillId="2" borderId="2" applyFont="1" applyNumberFormat="1" applyFill="0" applyBorder="1" applyAlignment="0">
      <alignment horizontal="general" vertical="bottom" textRotation="0" wrapText="false" shrinkToFit="false"/>
    </xf>
    <xf xfId="0" fontId="45" numFmtId="186" fillId="2" borderId="7" applyFont="1" applyNumberFormat="1" applyFill="0" applyBorder="1" applyAlignment="0">
      <alignment horizontal="general" vertical="bottom" textRotation="0" wrapText="false" shrinkToFit="false"/>
    </xf>
    <xf xfId="0" fontId="29" numFmtId="168" fillId="2" borderId="0" applyFont="1" applyNumberFormat="1" applyFill="0" applyBorder="0" applyAlignment="0">
      <alignment horizontal="general" vertical="bottom" textRotation="0" wrapText="false" shrinkToFit="false"/>
    </xf>
    <xf xfId="0" fontId="29" numFmtId="168" fillId="2" borderId="2" applyFont="1" applyNumberFormat="1" applyFill="0" applyBorder="1" applyAlignment="0">
      <alignment horizontal="general" vertical="bottom" textRotation="0" wrapText="false" shrinkToFit="false"/>
    </xf>
    <xf xfId="0" fontId="107" numFmtId="0" fillId="2" borderId="0" applyFont="1" applyNumberFormat="0" applyFill="0" applyBorder="0" applyAlignment="1">
      <alignment horizontal="left" vertical="center" textRotation="0" wrapText="false" shrinkToFit="false"/>
    </xf>
    <xf xfId="0" fontId="108" numFmtId="0" fillId="2" borderId="0" applyFont="1" applyNumberFormat="0" applyFill="0" applyBorder="0" applyAlignment="1">
      <alignment horizontal="left" vertical="center" textRotation="0" wrapText="false" shrinkToFit="false"/>
    </xf>
    <xf xfId="0" fontId="39" numFmtId="0" fillId="2" borderId="2" applyFont="1" applyNumberFormat="0" applyFill="0" applyBorder="1" applyAlignment="1">
      <alignment horizontal="general" vertical="center" textRotation="0" wrapText="false" shrinkToFit="false"/>
    </xf>
    <xf xfId="0" fontId="0" numFmtId="0" fillId="2" borderId="2" applyFont="0" applyNumberFormat="0" applyFill="0" applyBorder="1" applyAlignment="1">
      <alignment horizontal="general" vertical="center" textRotation="0" wrapText="false" shrinkToFit="false"/>
    </xf>
    <xf xfId="0" fontId="8" numFmtId="186" fillId="2" borderId="2" applyFont="1" applyNumberFormat="1" applyFill="0" applyBorder="1" applyAlignment="0">
      <alignment horizontal="general" vertical="bottom" textRotation="0" wrapText="false" shrinkToFit="false"/>
    </xf>
    <xf xfId="0" fontId="8" numFmtId="186" fillId="2" borderId="0" applyFont="1" applyNumberFormat="1" applyFill="0" applyBorder="0" applyAlignment="0">
      <alignment horizontal="general" vertical="bottom" textRotation="0" wrapText="false" shrinkToFit="false"/>
    </xf>
    <xf xfId="0" fontId="24" numFmtId="186" fillId="2" borderId="0" applyFont="1" applyNumberFormat="1" applyFill="0" applyBorder="0" applyAlignment="1">
      <alignment horizontal="center" vertical="bottom" textRotation="0" wrapText="false" shrinkToFit="false"/>
    </xf>
    <xf xfId="0" fontId="11" numFmtId="168" fillId="2" borderId="2" applyFont="1" applyNumberFormat="1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general" vertical="center" textRotation="0" wrapText="false" shrinkToFit="false"/>
    </xf>
    <xf xfId="0" fontId="0" numFmtId="0" fillId="2" borderId="9" applyFont="0" applyNumberFormat="0" applyFill="0" applyBorder="1" applyAlignment="0">
      <alignment horizontal="general" vertical="bottom" textRotation="0" wrapText="false" shrinkToFit="false"/>
    </xf>
    <xf xfId="0" fontId="11" numFmtId="0" fillId="2" borderId="1" applyFont="1" applyNumberFormat="0" applyFill="0" applyBorder="1" applyAlignment="1">
      <alignment horizontal="center" vertical="bottom" textRotation="0" wrapText="false" shrinkToFit="false"/>
    </xf>
    <xf xfId="0" fontId="72" numFmtId="0" fillId="2" borderId="1" applyFont="1" applyNumberFormat="0" applyFill="0" applyBorder="1" applyAlignment="0">
      <alignment horizontal="general" vertical="bottom" textRotation="0" wrapText="false" shrinkToFit="false"/>
    </xf>
    <xf xfId="0" fontId="11" numFmtId="168" fillId="2" borderId="3" applyFont="1" applyNumberFormat="1" applyFill="0" applyBorder="1" applyAlignment="0">
      <alignment horizontal="general" vertical="bottom" textRotation="0" wrapText="false" shrinkToFit="false"/>
    </xf>
    <xf xfId="0" fontId="11" numFmtId="168" fillId="2" borderId="3" applyFont="1" applyNumberFormat="1" applyFill="0" applyBorder="1" applyAlignment="1">
      <alignment horizontal="center" vertical="bottom" textRotation="0" wrapText="false" shrinkToFit="false"/>
    </xf>
    <xf xfId="0" fontId="11" numFmtId="168" fillId="2" borderId="1" applyFont="1" applyNumberFormat="1" applyFill="0" applyBorder="1" applyAlignment="1">
      <alignment horizontal="center" vertical="bottom" textRotation="0" wrapText="false" shrinkToFit="false"/>
    </xf>
    <xf xfId="0" fontId="109" numFmtId="0" fillId="2" borderId="0" applyFont="1" applyNumberFormat="0" applyFill="0" applyBorder="0" applyAlignment="1">
      <alignment horizontal="left" vertical="center" textRotation="0" wrapText="false" shrinkToFit="false"/>
    </xf>
    <xf xfId="0" fontId="110" numFmtId="0" fillId="2" borderId="0" applyFont="1" applyNumberFormat="0" applyFill="0" applyBorder="0" applyAlignment="1">
      <alignment horizontal="left" vertical="center" textRotation="0" wrapText="false" shrinkToFit="false"/>
    </xf>
    <xf xfId="0" fontId="111" numFmtId="0" fillId="2" borderId="0" applyFont="1" applyNumberFormat="0" applyFill="0" applyBorder="0" applyAlignment="1">
      <alignment horizontal="left" vertical="center" textRotation="0" wrapText="false" shrinkToFit="false"/>
    </xf>
    <xf xfId="0" fontId="112" numFmtId="0" fillId="2" borderId="0" applyFont="1" applyNumberFormat="0" applyFill="0" applyBorder="0" applyAlignment="1">
      <alignment horizontal="general" vertical="center" textRotation="0" wrapText="false" shrinkToFit="false"/>
    </xf>
    <xf xfId="0" fontId="111" numFmtId="0" fillId="2" borderId="0" applyFont="1" applyNumberFormat="0" applyFill="0" applyBorder="0" applyAlignment="0">
      <alignment horizontal="general" vertical="bottom" textRotation="0" wrapText="false" shrinkToFit="false"/>
    </xf>
    <xf xfId="0" fontId="113" numFmtId="0" fillId="2" borderId="0" applyFont="1" applyNumberFormat="0" applyFill="0" applyBorder="0" applyAlignment="0">
      <alignment horizontal="general" vertical="bottom" textRotation="0" wrapText="false" shrinkToFit="false"/>
    </xf>
    <xf xfId="0" fontId="113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186" fillId="2" borderId="2" applyFont="1" applyNumberFormat="1" applyFill="0" applyBorder="1" applyAlignment="1">
      <alignment horizontal="center" vertical="bottom" textRotation="0" wrapText="false" shrinkToFit="false"/>
    </xf>
    <xf xfId="0" fontId="5" numFmtId="186" fillId="2" borderId="0" applyFont="1" applyNumberFormat="1" applyFill="0" applyBorder="0" applyAlignment="1">
      <alignment horizontal="center" vertical="bottom" textRotation="0" wrapText="false" shrinkToFit="false"/>
    </xf>
    <xf xfId="0" fontId="8" numFmtId="186" fillId="2" borderId="2" applyFont="1" applyNumberFormat="1" applyFill="0" applyBorder="1" applyAlignment="1">
      <alignment horizontal="center" vertical="bottom" textRotation="0" wrapText="false" shrinkToFit="false"/>
    </xf>
    <xf xfId="0" fontId="8" numFmtId="186" fillId="2" borderId="0" applyFont="1" applyNumberFormat="1" applyFill="0" applyBorder="0" applyAlignment="1">
      <alignment horizontal="center" vertical="bottom" textRotation="0" wrapText="false" shrinkToFit="false"/>
    </xf>
    <xf xfId="0" fontId="24" numFmtId="186" fillId="2" borderId="3" applyFont="1" applyNumberFormat="1" applyFill="0" applyBorder="1" applyAlignment="1">
      <alignment horizontal="center" vertical="bottom" textRotation="0" wrapText="false" shrinkToFit="false"/>
    </xf>
    <xf xfId="0" fontId="24" numFmtId="186" fillId="2" borderId="1" applyFont="1" applyNumberFormat="1" applyFill="0" applyBorder="1" applyAlignment="1">
      <alignment horizontal="center" vertical="bottom" textRotation="0" wrapText="false" shrinkToFit="false"/>
    </xf>
    <xf xfId="0" fontId="45" numFmtId="186" fillId="2" borderId="2" applyFont="1" applyNumberFormat="1" applyFill="0" applyBorder="1" applyAlignment="1">
      <alignment horizontal="center" vertical="bottom" textRotation="0" wrapText="false" shrinkToFit="false"/>
    </xf>
    <xf xfId="0" fontId="45" numFmtId="186" fillId="2" borderId="7" applyFont="1" applyNumberFormat="1" applyFill="0" applyBorder="1" applyAlignment="1">
      <alignment horizontal="center" vertical="bottom" textRotation="0" wrapText="false" shrinkToFit="false"/>
    </xf>
    <xf xfId="0" fontId="4" numFmtId="169" fillId="2" borderId="0" applyFont="1" applyNumberFormat="1" applyFill="0" applyBorder="0" applyAlignment="1">
      <alignment horizontal="general" vertical="justify" textRotation="0" wrapText="true" shrinkToFit="false"/>
    </xf>
    <xf xfId="0" fontId="4" numFmtId="0" fillId="2" borderId="0" applyFont="1" applyNumberFormat="0" applyFill="0" applyBorder="0" applyAlignment="1">
      <alignment horizontal="center" vertical="justify" textRotation="0" wrapText="true" shrinkToFit="false"/>
    </xf>
    <xf xfId="0" fontId="4" numFmtId="169" fillId="2" borderId="0" applyFont="1" applyNumberFormat="1" applyFill="0" applyBorder="0" applyAlignment="1">
      <alignment horizontal="center" vertical="justify" textRotation="0" wrapText="true" shrinkToFit="false"/>
    </xf>
    <xf xfId="0" fontId="5" numFmtId="40" fillId="2" borderId="7" applyFont="1" applyNumberFormat="1" applyFill="0" applyBorder="1" applyAlignment="0">
      <alignment horizontal="general" vertical="bottom" textRotation="0" wrapText="false" shrinkToFit="false"/>
    </xf>
    <xf xfId="0" fontId="22" numFmtId="168" fillId="2" borderId="1" applyFont="1" applyNumberFormat="1" applyFill="0" applyBorder="1" applyAlignment="0">
      <alignment horizontal="general" vertical="bottom" textRotation="0" wrapText="false" shrinkToFit="false"/>
    </xf>
    <xf xfId="0" fontId="22" numFmtId="168" fillId="2" borderId="0" applyFont="1" applyNumberFormat="1" applyFill="0" applyBorder="0" applyAlignment="0">
      <alignment horizontal="general" vertical="bottom" textRotation="0" wrapText="false" shrinkToFit="false"/>
    </xf>
    <xf xfId="0" fontId="88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88" numFmtId="168" fillId="2" borderId="0" applyFont="1" applyNumberFormat="1" applyFill="0" applyBorder="0" applyAlignment="0">
      <alignment horizontal="general" vertical="bottom" textRotation="0" wrapText="false" shrinkToFit="false"/>
    </xf>
    <xf xfId="0" fontId="99" numFmtId="0" fillId="2" borderId="2" applyFont="1" applyNumberFormat="0" applyFill="0" applyBorder="1" applyAlignment="1">
      <alignment horizontal="center" vertical="bottom" textRotation="0" wrapText="false" shrinkToFit="false"/>
    </xf>
    <xf xfId="0" fontId="99" numFmtId="168" fillId="2" borderId="7" applyFont="1" applyNumberFormat="1" applyFill="0" applyBorder="1" applyAlignment="1">
      <alignment horizontal="center" vertical="bottom" textRotation="0" wrapText="false" shrinkToFit="false"/>
    </xf>
    <xf xfId="0" fontId="99" numFmtId="168" fillId="2" borderId="2" applyFont="1" applyNumberFormat="1" applyFill="0" applyBorder="1" applyAlignment="1">
      <alignment horizontal="center" vertical="bottom" textRotation="0" wrapText="false" shrinkToFit="false"/>
    </xf>
    <xf xfId="0" fontId="99" numFmtId="168" fillId="2" borderId="9" applyFont="1" applyNumberFormat="1" applyFill="0" applyBorder="1" applyAlignment="1">
      <alignment horizontal="center" vertical="bottom" textRotation="0" wrapText="false" shrinkToFit="false"/>
    </xf>
    <xf xfId="0" fontId="99" numFmtId="0" fillId="2" borderId="2" applyFont="1" applyNumberFormat="0" applyFill="0" applyBorder="1" applyAlignment="0">
      <alignment horizontal="general" vertical="bottom" textRotation="0" wrapText="false" shrinkToFit="false"/>
    </xf>
    <xf xfId="0" fontId="100" numFmtId="168" fillId="2" borderId="0" applyFont="1" applyNumberFormat="1" applyFill="0" applyBorder="0" applyAlignment="0">
      <alignment horizontal="general" vertical="bottom" textRotation="0" wrapText="false" shrinkToFit="false"/>
    </xf>
    <xf xfId="0" fontId="8" numFmtId="164" fillId="2" borderId="7" applyFont="1" applyNumberFormat="1" applyFill="0" applyBorder="1" applyAlignment="0">
      <alignment horizontal="general" vertical="bottom" textRotation="0" wrapText="false" shrinkToFit="false"/>
    </xf>
    <xf xfId="0" fontId="8" numFmtId="164" fillId="2" borderId="9" applyFont="1" applyNumberFormat="1" applyFill="0" applyBorder="1" applyAlignment="0">
      <alignment horizontal="general" vertical="bottom" textRotation="0" wrapText="false" shrinkToFit="false"/>
    </xf>
    <xf xfId="0" fontId="6" numFmtId="0" fillId="2" borderId="1" applyFont="1" applyNumberFormat="0" applyFill="0" applyBorder="1" applyAlignment="1">
      <alignment horizontal="left" vertical="bottom" textRotation="0" wrapText="false" shrinkToFit="false"/>
    </xf>
    <xf xfId="0" fontId="22" numFmtId="168" fillId="2" borderId="1" applyFont="1" applyNumberFormat="1" applyFill="0" applyBorder="1" applyAlignment="1">
      <alignment horizontal="left" vertical="bottom" textRotation="0" wrapText="false" shrinkToFit="false"/>
    </xf>
    <xf xfId="0" fontId="24" numFmtId="164" fillId="2" borderId="4" applyFont="1" applyNumberFormat="1" applyFill="0" applyBorder="1" applyAlignment="1">
      <alignment horizontal="center" vertical="bottom" textRotation="0" wrapText="false" shrinkToFit="false"/>
    </xf>
    <xf xfId="0" fontId="5" numFmtId="168" fillId="2" borderId="7" applyFont="1" applyNumberFormat="1" applyFill="0" applyBorder="1" applyAlignment="1">
      <alignment horizontal="right" vertical="bottom" textRotation="0" wrapText="false" shrinkToFit="false"/>
    </xf>
    <xf xfId="0" fontId="5" numFmtId="168" fillId="2" borderId="2" applyFont="1" applyNumberFormat="1" applyFill="0" applyBorder="1" applyAlignment="1">
      <alignment horizontal="right" vertical="bottom" textRotation="0" wrapText="false" shrinkToFit="false"/>
    </xf>
    <xf xfId="0" fontId="24" numFmtId="164" fillId="2" borderId="3" applyFont="1" applyNumberFormat="1" applyFill="0" applyBorder="1" applyAlignment="1">
      <alignment horizontal="center" vertical="bottom" textRotation="0" wrapText="false" shrinkToFit="false"/>
    </xf>
    <xf xfId="0" fontId="22" numFmtId="168" fillId="2" borderId="0" applyFont="1" applyNumberFormat="1" applyFill="0" applyBorder="0" applyAlignment="1">
      <alignment horizontal="left" vertical="bottom" textRotation="0" wrapText="false" shrinkToFit="false"/>
    </xf>
    <xf xfId="0" fontId="24" numFmtId="164" fillId="2" borderId="9" applyFont="1" applyNumberFormat="1" applyFill="0" applyBorder="1" applyAlignment="1">
      <alignment horizontal="center" vertical="bottom" textRotation="0" wrapText="false" shrinkToFit="false"/>
    </xf>
    <xf xfId="0" fontId="24" numFmtId="164" fillId="2" borderId="0" applyFont="1" applyNumberFormat="1" applyFill="0" applyBorder="0" applyAlignment="1">
      <alignment horizontal="center" vertical="bottom" textRotation="0" wrapText="false" shrinkToFit="false"/>
    </xf>
    <xf xfId="0" fontId="22" numFmtId="168" fillId="2" borderId="6" applyFont="1" applyNumberFormat="1" applyFill="0" applyBorder="1" applyAlignment="1">
      <alignment horizontal="left" vertical="bottom" textRotation="0" wrapText="false" shrinkToFit="false"/>
    </xf>
    <xf xfId="0" fontId="24" numFmtId="164" fillId="2" borderId="6" applyFont="1" applyNumberFormat="1" applyFill="0" applyBorder="1" applyAlignment="1">
      <alignment horizontal="center" vertical="bottom" textRotation="0" wrapText="false" shrinkToFit="false"/>
    </xf>
    <xf xfId="0" fontId="17" numFmtId="168" fillId="2" borderId="0" applyFont="1" applyNumberFormat="1" applyFill="0" applyBorder="0" applyAlignment="1">
      <alignment horizontal="left" vertical="bottom" textRotation="0" wrapText="false" shrinkToFit="false"/>
    </xf>
    <xf xfId="0" fontId="5" numFmtId="193" fillId="2" borderId="7" applyFont="1" applyNumberFormat="1" applyFill="0" applyBorder="1" applyAlignment="0">
      <alignment horizontal="general" vertical="bottom" textRotation="0" wrapText="false" shrinkToFit="false"/>
    </xf>
    <xf xfId="0" fontId="5" numFmtId="193" fillId="2" borderId="2" applyFont="1" applyNumberFormat="1" applyFill="0" applyBorder="1" applyAlignment="0">
      <alignment horizontal="general" vertical="bottom" textRotation="0" wrapText="false" shrinkToFit="false"/>
    </xf>
    <xf xfId="0" fontId="5" numFmtId="193" fillId="2" borderId="9" applyFont="1" applyNumberFormat="1" applyFill="0" applyBorder="1" applyAlignment="0">
      <alignment horizontal="general" vertical="bottom" textRotation="0" wrapText="false" shrinkToFit="false"/>
    </xf>
    <xf xfId="0" fontId="5" numFmtId="193" fillId="2" borderId="0" applyFont="1" applyNumberFormat="1" applyFill="0" applyBorder="0" applyAlignment="0">
      <alignment horizontal="general" vertical="bottom" textRotation="0" wrapText="false" shrinkToFit="false"/>
    </xf>
    <xf xfId="0" fontId="69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168" fillId="2" borderId="7" applyFont="1" applyNumberFormat="1" applyFill="0" applyBorder="1" applyAlignment="0">
      <alignment horizontal="general" vertical="bottom" textRotation="0" wrapText="false" shrinkToFit="false"/>
    </xf>
    <xf xfId="0" fontId="5" numFmtId="168" fillId="2" borderId="2" applyFont="1" applyNumberFormat="1" applyFill="0" applyBorder="1" applyAlignment="0">
      <alignment horizontal="general" vertical="bottom" textRotation="0" wrapText="false" shrinkToFit="false"/>
    </xf>
    <xf xfId="0" fontId="5" numFmtId="168" fillId="2" borderId="0" applyFont="1" applyNumberFormat="1" applyFill="0" applyBorder="0" applyAlignment="0">
      <alignment horizontal="general" vertical="bottom" textRotation="0" wrapText="false" shrinkToFit="false"/>
    </xf>
    <xf xfId="0" fontId="7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8" numFmtId="168" fillId="2" borderId="7" applyFont="1" applyNumberFormat="1" applyFill="0" applyBorder="1" applyAlignment="0">
      <alignment horizontal="general" vertical="bottom" textRotation="0" wrapText="false" shrinkToFit="false"/>
    </xf>
    <xf xfId="0" fontId="8" numFmtId="168" fillId="2" borderId="2" applyFont="1" applyNumberFormat="1" applyFill="0" applyBorder="1" applyAlignment="0">
      <alignment horizontal="general" vertical="bottom" textRotation="0" wrapText="false" shrinkToFit="false"/>
    </xf>
    <xf xfId="0" fontId="55" numFmtId="168" fillId="2" borderId="0" applyFont="1" applyNumberFormat="1" applyFill="0" applyBorder="0" applyAlignment="1">
      <alignment horizontal="left" vertical="bottom" textRotation="0" wrapText="false" shrinkToFit="false"/>
    </xf>
    <xf xfId="0" fontId="44" numFmtId="164" fillId="2" borderId="7" applyFont="1" applyNumberFormat="1" applyFill="0" applyBorder="1" applyAlignment="0">
      <alignment horizontal="general" vertical="bottom" textRotation="0" wrapText="false" shrinkToFit="false"/>
    </xf>
    <xf xfId="0" fontId="44" numFmtId="164" fillId="2" borderId="2" applyFont="1" applyNumberFormat="1" applyFill="0" applyBorder="1" applyAlignment="0">
      <alignment horizontal="general" vertical="bottom" textRotation="0" wrapText="false" shrinkToFit="false"/>
    </xf>
    <xf xfId="0" fontId="44" numFmtId="164" fillId="2" borderId="9" applyFont="1" applyNumberFormat="1" applyFill="0" applyBorder="1" applyAlignment="0">
      <alignment horizontal="general" vertical="bottom" textRotation="0" wrapText="false" shrinkToFit="false"/>
    </xf>
    <xf xfId="0" fontId="35" numFmtId="168" fillId="2" borderId="0" applyFont="1" applyNumberFormat="1" applyFill="0" applyBorder="0" applyAlignment="0">
      <alignment horizontal="general" vertical="bottom" textRotation="0" wrapText="false" shrinkToFit="false"/>
    </xf>
    <xf xfId="0" fontId="17" numFmtId="168" fillId="2" borderId="1" applyFont="1" applyNumberFormat="1" applyFill="0" applyBorder="1" applyAlignment="1">
      <alignment horizontal="general" vertical="center" textRotation="0" wrapText="false" shrinkToFit="false"/>
    </xf>
    <xf xfId="0" fontId="8" numFmtId="164" fillId="2" borderId="4" applyFont="1" applyNumberFormat="1" applyFill="0" applyBorder="1" applyAlignment="1">
      <alignment horizontal="general" vertical="center" textRotation="0" wrapText="false" shrinkToFit="false"/>
    </xf>
    <xf xfId="0" fontId="8" numFmtId="164" fillId="2" borderId="10" applyFont="1" applyNumberFormat="1" applyFill="0" applyBorder="1" applyAlignment="1">
      <alignment horizontal="general" vertical="center" textRotation="0" wrapText="false" shrinkToFit="false"/>
    </xf>
    <xf xfId="0" fontId="7" numFmtId="168" fillId="2" borderId="0" applyFont="1" applyNumberFormat="1" applyFill="0" applyBorder="0" applyAlignment="1">
      <alignment horizontal="general" vertical="center" textRotation="0" wrapText="false" shrinkToFit="false"/>
    </xf>
    <xf xfId="0" fontId="17" numFmtId="168" fillId="2" borderId="0" applyFont="1" applyNumberFormat="1" applyFill="0" applyBorder="0" applyAlignment="0">
      <alignment horizontal="general" vertical="bottom" textRotation="0" wrapText="false" shrinkToFit="false"/>
    </xf>
    <xf xfId="0" fontId="39" numFmtId="168" fillId="2" borderId="0" applyFont="1" applyNumberFormat="1" applyFill="0" applyBorder="0" applyAlignment="0">
      <alignment horizontal="general" vertical="bottom" textRotation="0" wrapText="false" shrinkToFit="false"/>
    </xf>
    <xf xfId="0" fontId="79" numFmtId="168" fillId="2" borderId="0" applyFont="1" applyNumberFormat="1" applyFill="0" applyBorder="0" applyAlignment="0">
      <alignment horizontal="general" vertical="bottom" textRotation="0" wrapText="false" shrinkToFit="false"/>
    </xf>
    <xf xfId="0" fontId="79" numFmtId="0" fillId="2" borderId="0" applyFont="1" applyNumberFormat="0" applyFill="0" applyBorder="0" applyAlignment="0">
      <alignment horizontal="general" vertical="bottom" textRotation="0" wrapText="false" shrinkToFit="false"/>
    </xf>
    <xf xfId="0" fontId="114" numFmtId="0" fillId="2" borderId="0" applyFont="1" applyNumberFormat="0" applyFill="0" applyBorder="0" applyAlignment="0">
      <alignment horizontal="general" vertical="bottom" textRotation="0" wrapText="false" shrinkToFit="false"/>
    </xf>
    <xf xfId="0" fontId="24" numFmtId="186" fillId="2" borderId="1" applyFont="1" applyNumberFormat="1" applyFill="0" applyBorder="1" applyAlignment="0">
      <alignment horizontal="general" vertical="bottom" textRotation="0" wrapText="false" shrinkToFit="false"/>
    </xf>
    <xf xfId="0" fontId="24" numFmtId="187" fillId="2" borderId="2" applyFont="1" applyNumberFormat="1" applyFill="0" applyBorder="1" applyAlignment="0">
      <alignment horizontal="general" vertical="bottom" textRotation="0" wrapText="false" shrinkToFit="false"/>
    </xf>
    <xf xfId="0" fontId="24" numFmtId="187" fillId="2" borderId="0" applyFont="1" applyNumberFormat="1" applyFill="0" applyBorder="0" applyAlignment="0">
      <alignment horizontal="general" vertical="bottom" textRotation="0" wrapText="false" shrinkToFit="false"/>
    </xf>
    <xf xfId="0" fontId="95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194" fillId="2" borderId="2" applyFont="1" applyNumberFormat="1" applyFill="0" applyBorder="1" applyAlignment="0">
      <alignment horizontal="general" vertical="bottom" textRotation="0" wrapText="false" shrinkToFit="false"/>
    </xf>
    <xf xfId="0" fontId="24" numFmtId="186" fillId="2" borderId="2" applyFont="1" applyNumberFormat="1" applyFill="0" applyBorder="1" applyAlignment="1">
      <alignment horizontal="center" vertical="bottom" textRotation="0" wrapText="false" shrinkToFit="false"/>
    </xf>
    <xf xfId="0" fontId="24" numFmtId="186" fillId="2" borderId="0" applyFont="1" applyNumberFormat="1" applyFill="0" applyBorder="0" applyAlignment="1">
      <alignment horizontal="center" vertical="bottom" textRotation="0" wrapText="false" shrinkToFit="false"/>
    </xf>
    <xf xfId="0" fontId="24" numFmtId="186" fillId="2" borderId="3" applyFont="1" applyNumberFormat="1" applyFill="0" applyBorder="1" applyAlignment="1">
      <alignment horizontal="center" vertical="bottom" textRotation="0" wrapText="false" shrinkToFit="false"/>
    </xf>
    <xf xfId="0" fontId="24" numFmtId="186" fillId="2" borderId="1" applyFont="1" applyNumberFormat="1" applyFill="0" applyBorder="1" applyAlignment="1">
      <alignment horizontal="center" vertical="bottom" textRotation="0" wrapText="false" shrinkToFit="false"/>
    </xf>
    <xf xfId="0" fontId="11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24" numFmtId="177" fillId="2" borderId="2" applyFont="1" applyNumberFormat="1" applyFill="0" applyBorder="1" applyAlignment="0">
      <alignment horizontal="general" vertical="bottom" textRotation="0" wrapText="false" shrinkToFit="false"/>
    </xf>
    <xf xfId="0" fontId="24" numFmtId="177" fillId="2" borderId="0" applyFont="1" applyNumberFormat="1" applyFill="0" applyBorder="0" applyAlignment="0">
      <alignment horizontal="general" vertical="bottom" textRotation="0" wrapText="false" shrinkToFit="false"/>
    </xf>
    <xf xfId="0" fontId="45" numFmtId="186" fillId="2" borderId="0" applyFont="1" applyNumberFormat="1" applyFill="0" applyBorder="0" applyAlignment="0">
      <alignment horizontal="general" vertical="bottom" textRotation="0" wrapText="false" shrinkToFit="false"/>
    </xf>
    <xf xfId="0" fontId="45" numFmtId="186" fillId="2" borderId="9" applyFont="1" applyNumberFormat="1" applyFill="0" applyBorder="1" applyAlignment="0">
      <alignment horizontal="general" vertical="bottom" textRotation="0" wrapText="false" shrinkToFit="false"/>
    </xf>
    <xf xfId="0" fontId="7" numFmtId="0" fillId="2" borderId="6" applyFont="1" applyNumberFormat="0" applyFill="0" applyBorder="1" applyAlignment="0">
      <alignment horizontal="general" vertical="bottom" textRotation="0" wrapText="false" shrinkToFit="false"/>
    </xf>
    <xf xfId="0" fontId="8" numFmtId="164" fillId="2" borderId="6" applyFont="1" applyNumberFormat="1" applyFill="0" applyBorder="1" applyAlignment="0">
      <alignment horizontal="general" vertical="bottom" textRotation="0" wrapText="false" shrinkToFit="false"/>
    </xf>
    <xf xfId="0" fontId="39" numFmtId="0" fillId="2" borderId="2" applyFont="1" applyNumberFormat="0" applyFill="0" applyBorder="1" applyAlignment="1">
      <alignment horizontal="center" vertical="center" textRotation="0" wrapText="true" shrinkToFit="false"/>
    </xf>
    <xf xfId="0" fontId="39" numFmtId="0" fillId="2" borderId="0" applyFont="1" applyNumberFormat="0" applyFill="0" applyBorder="0" applyAlignment="1">
      <alignment horizontal="center" vertical="center" textRotation="0" wrapText="true" shrinkToFit="false"/>
    </xf>
    <xf xfId="0" fontId="24" numFmtId="169" fillId="2" borderId="9" applyFont="1" applyNumberFormat="1" applyFill="0" applyBorder="1" applyAlignment="1">
      <alignment horizontal="center" vertical="bottom" textRotation="0" wrapText="false" shrinkToFit="false"/>
    </xf>
    <xf xfId="0" fontId="5" numFmtId="49" fillId="2" borderId="9" applyFont="1" applyNumberFormat="1" applyFill="0" applyBorder="1" applyAlignment="1">
      <alignment horizontal="center" vertical="bottom" textRotation="0" wrapText="false" shrinkToFit="false"/>
    </xf>
    <xf xfId="0" fontId="5" numFmtId="169" fillId="2" borderId="9" applyFont="1" applyNumberFormat="1" applyFill="0" applyBorder="1" applyAlignment="1">
      <alignment horizontal="center" vertical="bottom" textRotation="0" wrapText="false" shrinkToFit="false"/>
    </xf>
    <xf xfId="0" fontId="8" numFmtId="169" fillId="2" borderId="9" applyFont="1" applyNumberFormat="1" applyFill="0" applyBorder="1" applyAlignment="1">
      <alignment horizontal="center" vertical="bottom" textRotation="0" wrapText="false" shrinkToFit="false"/>
    </xf>
    <xf xfId="0" fontId="43" numFmtId="168" fillId="2" borderId="0" applyFont="1" applyNumberFormat="1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0" numFmtId="0" fillId="2" borderId="1" applyFont="0" applyNumberFormat="0" applyFill="0" applyBorder="1" applyAlignment="1">
      <alignment horizontal="left" vertical="bottom" textRotation="0" wrapText="false" shrinkToFit="false" indent="2"/>
    </xf>
    <xf xfId="0" fontId="7" numFmtId="0" fillId="2" borderId="1" applyFont="1" applyNumberFormat="0" applyFill="0" applyBorder="1" applyAlignment="1">
      <alignment horizontal="left" vertical="bottom" textRotation="0" wrapText="false" shrinkToFit="false" indent="2"/>
    </xf>
    <xf xfId="0" fontId="5" numFmtId="49" fillId="2" borderId="10" applyFont="1" applyNumberFormat="1" applyFill="0" applyBorder="1" applyAlignment="1">
      <alignment horizontal="center" vertical="bottom" textRotation="0" wrapText="false" shrinkToFit="false"/>
    </xf>
    <xf xfId="0" fontId="5" numFmtId="169" fillId="2" borderId="1" applyFont="1" applyNumberFormat="1" applyFill="0" applyBorder="1" applyAlignment="0">
      <alignment horizontal="general" vertical="bottom" textRotation="0" wrapText="false" shrinkToFit="false"/>
    </xf>
    <xf xfId="0" fontId="5" numFmtId="49" fillId="2" borderId="0" applyFont="1" applyNumberFormat="1" applyFill="0" applyBorder="0" applyAlignment="1">
      <alignment horizontal="center" vertical="bottom" textRotation="0" wrapText="false" shrinkToFit="false"/>
    </xf>
    <xf xfId="0" fontId="11" numFmtId="168" fillId="2" borderId="7" applyFont="1" applyNumberFormat="1" applyFill="0" applyBorder="1" applyAlignment="0">
      <alignment horizontal="general" vertical="bottom" textRotation="0" wrapText="false" shrinkToFit="false"/>
    </xf>
    <xf xfId="0" fontId="11" numFmtId="168" fillId="2" borderId="7" applyFont="1" applyNumberFormat="1" applyFill="0" applyBorder="1" applyAlignment="1">
      <alignment horizontal="center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0" numFmtId="168" fillId="2" borderId="4" applyFont="0" applyNumberFormat="1" applyFill="0" applyBorder="1" applyAlignment="0">
      <alignment horizontal="general" vertical="bottom" textRotation="0" wrapText="false" shrinkToFit="false"/>
    </xf>
    <xf xfId="0" fontId="5" numFmtId="169" fillId="2" borderId="0" applyFont="1" applyNumberFormat="1" applyFill="0" applyBorder="0" applyAlignment="1">
      <alignment horizontal="general" vertical="justify" textRotation="0" wrapText="false" shrinkToFit="false"/>
    </xf>
    <xf xfId="0" fontId="29" numFmtId="168" fillId="2" borderId="0" applyFont="1" applyNumberFormat="1" applyFill="0" applyBorder="0" applyAlignment="0">
      <alignment horizontal="general" vertical="bottom" textRotation="0" wrapText="false" shrinkToFit="false"/>
    </xf>
    <xf xfId="0" fontId="28" numFmtId="0" fillId="2" borderId="0" applyFont="1" applyNumberFormat="0" applyFill="0" applyBorder="0" applyAlignment="0">
      <alignment horizontal="general" vertical="bottom" textRotation="0" wrapText="false" shrinkToFit="false"/>
    </xf>
    <xf xfId="0" fontId="91" numFmtId="0" fillId="2" borderId="0" applyFont="1" applyNumberFormat="0" applyFill="0" applyBorder="0" applyAlignment="0">
      <alignment horizontal="general" vertical="bottom" textRotation="0" wrapText="false" shrinkToFit="false"/>
    </xf>
    <xf xfId="0" fontId="115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166" fillId="2" borderId="2" applyFont="1" applyNumberFormat="1" applyFill="0" applyBorder="1" applyAlignment="0">
      <alignment horizontal="general" vertical="bottom" textRotation="0" wrapText="false" shrinkToFit="false"/>
    </xf>
    <xf xfId="0" fontId="8" numFmtId="166" fillId="2" borderId="0" applyFont="1" applyNumberFormat="1" applyFill="0" applyBorder="0" applyAlignment="0">
      <alignment horizontal="general" vertical="bottom" textRotation="0" wrapText="false" shrinkToFit="false"/>
    </xf>
    <xf xfId="0" fontId="24" numFmtId="172" fillId="2" borderId="2" applyFont="1" applyNumberFormat="1" applyFill="0" applyBorder="1" applyAlignment="0">
      <alignment horizontal="general" vertical="bottom" textRotation="0" wrapText="false" shrinkToFit="false"/>
    </xf>
    <xf xfId="0" fontId="24" numFmtId="172" fillId="2" borderId="0" applyFont="1" applyNumberFormat="1" applyFill="0" applyBorder="0" applyAlignment="0">
      <alignment horizontal="general" vertical="bottom" textRotation="0" wrapText="false" shrinkToFit="false"/>
    </xf>
    <xf xfId="0" fontId="44" numFmtId="172" fillId="2" borderId="2" applyFont="1" applyNumberFormat="1" applyFill="0" applyBorder="1" applyAlignment="0">
      <alignment horizontal="general" vertical="bottom" textRotation="0" wrapText="false" shrinkToFit="false"/>
    </xf>
    <xf xfId="0" fontId="44" numFmtId="172" fillId="2" borderId="0" applyFont="1" applyNumberFormat="1" applyFill="0" applyBorder="0" applyAlignment="0">
      <alignment horizontal="general" vertical="bottom" textRotation="0" wrapText="false" shrinkToFit="false"/>
    </xf>
    <xf xfId="0" fontId="90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11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5" numFmtId="0" fillId="2" borderId="2" applyFont="1" applyNumberFormat="0" applyFill="0" applyBorder="1" applyAlignment="1">
      <alignment horizontal="left" vertical="center" textRotation="0" wrapText="false" shrinkToFit="false" indent="1"/>
    </xf>
    <xf xfId="0" fontId="5" numFmtId="169" fillId="2" borderId="2" applyFont="1" applyNumberFormat="1" applyFill="0" applyBorder="1" applyAlignment="1">
      <alignment horizontal="left" vertical="center" textRotation="0" wrapText="false" shrinkToFit="false" indent="1"/>
    </xf>
    <xf xfId="0" fontId="5" numFmtId="169" fillId="2" borderId="0" applyFont="1" applyNumberFormat="1" applyFill="0" applyBorder="0" applyAlignment="1">
      <alignment horizontal="left" vertical="center" textRotation="0" wrapText="false" shrinkToFit="false" indent="1"/>
    </xf>
    <xf xfId="0" fontId="5" numFmtId="168" fillId="2" borderId="0" applyFont="1" applyNumberFormat="1" applyFill="0" applyBorder="0" applyAlignment="1">
      <alignment horizontal="left" vertical="center" textRotation="0" wrapText="false" shrinkToFit="false" indent="1"/>
    </xf>
    <xf xfId="0" fontId="5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88" numFmtId="0" fillId="2" borderId="1" applyFont="1" applyNumberFormat="0" applyFill="0" applyBorder="1" applyAlignment="1">
      <alignment horizontal="left" vertical="center" textRotation="0" wrapText="false" shrinkToFit="false" indent="1"/>
    </xf>
    <xf xfId="0" fontId="11" numFmtId="0" fillId="2" borderId="1" applyFont="1" applyNumberFormat="0" applyFill="0" applyBorder="1" applyAlignment="1">
      <alignment horizontal="left" vertical="center" textRotation="0" wrapText="false" shrinkToFit="false" indent="1"/>
    </xf>
    <xf xfId="0" fontId="5" numFmtId="0" fillId="2" borderId="3" applyFont="1" applyNumberFormat="0" applyFill="0" applyBorder="1" applyAlignment="1">
      <alignment horizontal="left" vertical="center" textRotation="0" wrapText="false" shrinkToFit="false" indent="1"/>
    </xf>
    <xf xfId="0" fontId="5" numFmtId="169" fillId="2" borderId="3" applyFont="1" applyNumberFormat="1" applyFill="0" applyBorder="1" applyAlignment="1">
      <alignment horizontal="left" vertical="center" textRotation="0" wrapText="false" shrinkToFit="false" indent="1"/>
    </xf>
    <xf xfId="0" fontId="5" numFmtId="169" fillId="2" borderId="1" applyFont="1" applyNumberFormat="1" applyFill="0" applyBorder="1" applyAlignment="1">
      <alignment horizontal="left" vertical="center" textRotation="0" wrapText="false" shrinkToFit="false" indent="1"/>
    </xf>
    <xf xfId="0" fontId="5" numFmtId="169" fillId="2" borderId="0" applyFont="1" applyNumberFormat="1" applyFill="0" applyBorder="0" applyAlignment="1">
      <alignment horizontal="left" vertical="center" textRotation="0" wrapText="false" shrinkToFit="false" indent="1"/>
    </xf>
    <xf xfId="0" fontId="90" numFmtId="0" fillId="2" borderId="0" applyFont="1" applyNumberFormat="0" applyFill="0" applyBorder="0" applyAlignment="1">
      <alignment horizontal="left" vertical="center" textRotation="0" wrapText="false" shrinkToFit="false" indent="4"/>
    </xf>
    <xf xfId="0" fontId="24" numFmtId="169" fillId="2" borderId="10" applyFont="1" applyNumberFormat="1" applyFill="0" applyBorder="1" applyAlignment="1">
      <alignment horizontal="center" vertical="bottom" textRotation="0" wrapText="false" shrinkToFit="false"/>
    </xf>
    <xf xfId="0" fontId="90" numFmtId="0" fillId="2" borderId="0" applyFont="1" applyNumberFormat="0" applyFill="0" applyBorder="0" applyAlignment="1">
      <alignment horizontal="left" vertical="center" textRotation="0" wrapText="false" shrinkToFit="false" indent="2"/>
    </xf>
    <xf xfId="0" fontId="39" numFmtId="169" fillId="2" borderId="0" applyFont="1" applyNumberFormat="1" applyFill="0" applyBorder="0" applyAlignment="0">
      <alignment horizontal="general" vertical="bottom" textRotation="0" wrapText="false" shrinkToFit="false"/>
    </xf>
    <xf xfId="0" fontId="7" numFmtId="14" fillId="2" borderId="5" applyFont="1" applyNumberFormat="1" applyFill="0" applyBorder="1" applyAlignment="0">
      <alignment horizontal="general" vertical="bottom" textRotation="0" wrapText="false" shrinkToFit="false"/>
    </xf>
    <xf xfId="0" fontId="7" numFmtId="168" fillId="2" borderId="5" applyFont="1" applyNumberFormat="1" applyFill="0" applyBorder="1" applyAlignment="1">
      <alignment horizontal="center" vertical="bottom" textRotation="0" wrapText="false" shrinkToFit="false"/>
    </xf>
    <xf xfId="0" fontId="98" numFmtId="0" fillId="2" borderId="5" applyFont="1" applyNumberFormat="0" applyFill="0" applyBorder="1" applyAlignment="0">
      <alignment horizontal="general" vertical="bottom" textRotation="0" wrapText="false" shrinkToFit="false"/>
    </xf>
    <xf xfId="0" fontId="77" numFmtId="168" fillId="2" borderId="0" applyFont="1" applyNumberFormat="1" applyFill="0" applyBorder="0" applyAlignment="0">
      <alignment horizontal="general" vertical="bottom" textRotation="0" wrapText="false" shrinkToFit="false"/>
    </xf>
    <xf xfId="0" fontId="116" numFmtId="0" fillId="2" borderId="0" applyFont="1" applyNumberFormat="0" applyFill="0" applyBorder="0" applyAlignment="0">
      <alignment horizontal="general" vertical="bottom" textRotation="0" wrapText="false" shrinkToFit="false"/>
    </xf>
    <xf xfId="0" fontId="92" numFmtId="0" fillId="2" borderId="2" applyFont="1" applyNumberFormat="0" applyFill="0" applyBorder="1" applyAlignment="1">
      <alignment horizontal="center" vertical="bottom" textRotation="0" wrapText="false" shrinkToFit="false"/>
    </xf>
    <xf xfId="0" fontId="92" numFmtId="168" fillId="2" borderId="2" applyFont="1" applyNumberFormat="1" applyFill="0" applyBorder="1" applyAlignment="0">
      <alignment horizontal="general" vertical="bottom" textRotation="0" wrapText="false" shrinkToFit="false"/>
    </xf>
    <xf xfId="0" fontId="92" numFmtId="168" fillId="2" borderId="0" applyFont="1" applyNumberFormat="1" applyFill="0" applyBorder="0" applyAlignment="0">
      <alignment horizontal="general" vertical="bottom" textRotation="0" wrapText="false" shrinkToFit="false"/>
    </xf>
    <xf xfId="0" fontId="117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11" numFmtId="0" fillId="2" borderId="0" applyFont="1" applyNumberFormat="0" applyFill="0" applyBorder="0" applyAlignment="1">
      <alignment horizontal="left" vertical="bottom" textRotation="0" wrapText="false" shrinkToFit="false"/>
    </xf>
    <xf xfId="0" fontId="11" numFmtId="0" fillId="2" borderId="0" applyFont="1" applyNumberFormat="0" applyFill="0" applyBorder="0" applyAlignment="0">
      <alignment horizontal="general" vertical="bottom" textRotation="0" wrapText="false" shrinkToFit="false"/>
    </xf>
    <xf xfId="0" fontId="11" numFmtId="0" fillId="2" borderId="0" applyFont="1" applyNumberFormat="0" applyFill="0" applyBorder="0" applyAlignment="1">
      <alignment horizontal="left" vertical="bottom" textRotation="0" wrapText="false" shrinkToFit="false" indent="2"/>
    </xf>
    <xf xfId="0" fontId="5" numFmtId="169" fillId="2" borderId="0" applyFont="1" applyNumberFormat="1" applyFill="0" applyBorder="0" applyAlignment="1">
      <alignment horizontal="center" vertical="center" textRotation="0" wrapText="false" shrinkToFit="false"/>
    </xf>
    <xf xfId="0" fontId="24" numFmtId="175" fillId="2" borderId="2" applyFont="1" applyNumberFormat="1" applyFill="0" applyBorder="1" applyAlignment="1">
      <alignment horizontal="center" vertical="bottom" textRotation="0" wrapText="false" shrinkToFit="false"/>
    </xf>
    <xf xfId="0" fontId="5" numFmtId="168" fillId="2" borderId="0" applyFont="1" applyNumberFormat="1" applyFill="0" applyBorder="0" applyAlignment="1">
      <alignment horizontal="center" vertical="center" textRotation="0" wrapText="true" shrinkToFit="false"/>
    </xf>
    <xf xfId="0" fontId="5" numFmtId="175" fillId="2" borderId="0" applyFont="1" applyNumberFormat="1" applyFill="0" applyBorder="0" applyAlignment="0">
      <alignment horizontal="general" vertical="bottom" textRotation="0" wrapText="false" shrinkToFit="false"/>
    </xf>
    <xf xfId="0" fontId="43" numFmtId="0" fillId="2" borderId="7" applyFont="1" applyNumberFormat="0" applyFill="0" applyBorder="1" applyAlignment="1">
      <alignment horizontal="center" vertical="bottom" textRotation="0" wrapText="false" shrinkToFit="false"/>
    </xf>
    <xf xfId="0" fontId="24" numFmtId="175" fillId="2" borderId="7" applyFont="1" applyNumberFormat="1" applyFill="0" applyBorder="1" applyAlignment="1">
      <alignment horizontal="center" vertical="bottom" textRotation="0" wrapText="false" shrinkToFit="false"/>
    </xf>
    <xf xfId="0" fontId="7" numFmtId="168" fillId="2" borderId="0" applyFont="1" applyNumberFormat="1" applyFill="0" applyBorder="0" applyAlignment="1">
      <alignment horizontal="center" vertical="center" textRotation="0" wrapText="false" shrinkToFit="false"/>
    </xf>
    <xf xfId="0" fontId="43" numFmtId="0" fillId="2" borderId="6" applyFont="1" applyNumberFormat="0" applyFill="0" applyBorder="1" applyAlignment="0">
      <alignment horizontal="general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168" fillId="2" borderId="6" applyFont="1" applyNumberFormat="1" applyFill="0" applyBorder="1" applyAlignment="1">
      <alignment horizontal="center" vertical="bottom" textRotation="0" wrapText="false" shrinkToFit="false"/>
    </xf>
    <xf xfId="0" fontId="5" numFmtId="168" fillId="2" borderId="6" applyFont="1" applyNumberFormat="1" applyFill="0" applyBorder="1" applyAlignment="0">
      <alignment horizontal="general" vertical="bottom" textRotation="0" wrapText="false" shrinkToFit="false"/>
    </xf>
    <xf xfId="0" fontId="5" numFmtId="168" fillId="2" borderId="0" applyFont="1" applyNumberFormat="1" applyFill="0" applyBorder="0" applyAlignment="1">
      <alignment horizontal="center" vertical="center" textRotation="0" wrapText="false" shrinkToFit="false"/>
    </xf>
    <xf xfId="0" fontId="24" numFmtId="175" fillId="2" borderId="0" applyFont="1" applyNumberFormat="1" applyFill="0" applyBorder="0" applyAlignment="0">
      <alignment horizontal="general" vertical="bottom" textRotation="0" wrapText="false" shrinkToFit="false"/>
    </xf>
    <xf xfId="0" fontId="45" numFmtId="175" fillId="2" borderId="2" applyFont="1" applyNumberFormat="1" applyFill="0" applyBorder="1" applyAlignment="1">
      <alignment horizontal="center" vertical="bottom" textRotation="0" wrapText="false" shrinkToFit="false"/>
    </xf>
    <xf xfId="0" fontId="45" numFmtId="175" fillId="2" borderId="0" applyFont="1" applyNumberFormat="1" applyFill="0" applyBorder="0" applyAlignment="0">
      <alignment horizontal="general" vertical="bottom" textRotation="0" wrapText="false" shrinkToFit="false"/>
    </xf>
    <xf xfId="0" fontId="43" numFmtId="0" fillId="2" borderId="1" applyFont="1" applyNumberFormat="0" applyFill="0" applyBorder="1" applyAlignment="0">
      <alignment horizontal="general" vertical="bottom" textRotation="0" wrapText="false" shrinkToFit="false"/>
    </xf>
    <xf xfId="0" fontId="5" numFmtId="0" fillId="2" borderId="4" applyFont="1" applyNumberFormat="0" applyFill="0" applyBorder="1" applyAlignment="1">
      <alignment horizontal="center" vertical="bottom" textRotation="0" wrapText="false" shrinkToFit="false"/>
    </xf>
    <xf xfId="0" fontId="5" numFmtId="168" fillId="2" borderId="1" applyFont="1" applyNumberFormat="1" applyFill="0" applyBorder="1" applyAlignment="0">
      <alignment horizontal="general" vertical="bottom" textRotation="0" wrapText="false" shrinkToFit="false"/>
    </xf>
    <xf xfId="0" fontId="118" numFmtId="168" fillId="2" borderId="0" applyFont="1" applyNumberFormat="1" applyFill="0" applyBorder="0" applyAlignment="1">
      <alignment horizontal="center" vertical="center" textRotation="0" wrapText="false" shrinkToFit="false"/>
    </xf>
    <xf xfId="0" fontId="118" numFmtId="168" fillId="2" borderId="0" applyFont="1" applyNumberFormat="1" applyFill="0" applyBorder="0" applyAlignment="1">
      <alignment horizontal="center" vertical="center" textRotation="0" wrapText="false" shrinkToFit="false"/>
    </xf>
    <xf xfId="0" fontId="0" numFmtId="168" fillId="2" borderId="0" applyFont="0" applyNumberFormat="1" applyFill="0" applyBorder="0" applyAlignment="1">
      <alignment horizontal="center" vertical="center" textRotation="0" wrapText="false" shrinkToFit="false"/>
    </xf>
    <xf xfId="0" fontId="0" numFmtId="169" fillId="2" borderId="0" applyFont="0" applyNumberFormat="1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0" numFmtId="168" fillId="2" borderId="0" applyFont="1" applyNumberFormat="1" applyFill="0" applyBorder="0" applyAlignment="1">
      <alignment horizontal="general" vertical="center" textRotation="0" wrapText="false" shrinkToFit="false"/>
    </xf>
    <xf xfId="0" fontId="5" numFmtId="166" fillId="2" borderId="2" applyFont="1" applyNumberFormat="1" applyFill="0" applyBorder="1" applyAlignment="1">
      <alignment horizontal="left" vertical="center" textRotation="0" wrapText="false" shrinkToFit="false"/>
    </xf>
    <xf xfId="0" fontId="5" numFmtId="168" fillId="2" borderId="0" applyFont="1" applyNumberFormat="1" applyFill="0" applyBorder="0" applyAlignment="1">
      <alignment horizontal="left" vertical="center" textRotation="0" wrapText="false" shrinkToFit="false"/>
    </xf>
    <xf xfId="0" fontId="5" numFmtId="166" fillId="2" borderId="2" applyFont="1" applyNumberFormat="1" applyFill="0" applyBorder="1" applyAlignment="1">
      <alignment horizontal="left" vertical="bottom" textRotation="0" wrapText="false" shrinkToFit="false"/>
    </xf>
    <xf xfId="0" fontId="5" numFmtId="168" fillId="2" borderId="2" applyFont="1" applyNumberFormat="1" applyFill="0" applyBorder="1" applyAlignment="1">
      <alignment horizontal="left" vertical="bottom" textRotation="0" wrapText="false" shrinkToFit="false"/>
    </xf>
    <xf xfId="0" fontId="24" numFmtId="184" fillId="2" borderId="2" applyFont="1" applyNumberFormat="1" applyFill="0" applyBorder="1" applyAlignment="0">
      <alignment horizontal="general" vertical="bottom" textRotation="0" wrapText="false" shrinkToFit="false"/>
    </xf>
    <xf xfId="0" fontId="24" numFmtId="184" fillId="2" borderId="7" applyFont="1" applyNumberFormat="1" applyFill="0" applyBorder="1" applyAlignment="0">
      <alignment horizontal="general" vertical="bottom" textRotation="0" wrapText="false" shrinkToFit="false"/>
    </xf>
    <xf xfId="0" fontId="5" numFmtId="184" fillId="2" borderId="2" applyFont="1" applyNumberFormat="1" applyFill="0" applyBorder="1" applyAlignment="0">
      <alignment horizontal="general" vertical="bottom" textRotation="0" wrapText="false" shrinkToFit="false"/>
    </xf>
    <xf xfId="0" fontId="5" numFmtId="184" fillId="2" borderId="0" applyFont="1" applyNumberFormat="1" applyFill="0" applyBorder="0" applyAlignment="0">
      <alignment horizontal="general" vertical="bottom" textRotation="0" wrapText="false" shrinkToFit="false"/>
    </xf>
    <xf xfId="0" fontId="20" numFmtId="194" fillId="2" borderId="0" applyFont="1" applyNumberFormat="1" applyFill="0" applyBorder="0" applyAlignment="0">
      <alignment horizontal="general" vertical="bottom" textRotation="0" wrapText="false" shrinkToFit="false"/>
    </xf>
    <xf xfId="0" fontId="11" numFmtId="194" fillId="2" borderId="0" applyFont="1" applyNumberFormat="1" applyFill="0" applyBorder="0" applyAlignment="0">
      <alignment horizontal="general" vertical="bottom" textRotation="0" wrapText="false" shrinkToFit="false"/>
    </xf>
    <xf xfId="0" fontId="24" numFmtId="184" fillId="2" borderId="2" applyFont="1" applyNumberFormat="1" applyFill="0" applyBorder="1" applyAlignment="1">
      <alignment horizontal="center" vertical="bottom" textRotation="0" wrapText="false" shrinkToFit="false"/>
    </xf>
    <xf xfId="0" fontId="24" numFmtId="184" fillId="2" borderId="7" applyFont="1" applyNumberFormat="1" applyFill="0" applyBorder="1" applyAlignment="1">
      <alignment horizontal="center" vertical="bottom" textRotation="0" wrapText="false" shrinkToFit="false"/>
    </xf>
    <xf xfId="0" fontId="24" numFmtId="184" fillId="2" borderId="3" applyFont="1" applyNumberFormat="1" applyFill="0" applyBorder="1" applyAlignment="1">
      <alignment horizontal="center" vertical="bottom" textRotation="0" wrapText="false" shrinkToFit="false"/>
    </xf>
    <xf xfId="0" fontId="24" numFmtId="184" fillId="2" borderId="4" applyFont="1" applyNumberFormat="1" applyFill="0" applyBorder="1" applyAlignment="1">
      <alignment horizontal="center" vertical="bottom" textRotation="0" wrapText="false" shrinkToFit="false"/>
    </xf>
    <xf xfId="0" fontId="24" numFmtId="164" fillId="2" borderId="6" applyFont="1" applyNumberFormat="1" applyFill="0" applyBorder="1" applyAlignment="1">
      <alignment horizontal="center" vertical="bottom" textRotation="0" wrapText="false" shrinkToFit="false"/>
    </xf>
    <xf xfId="0" fontId="45" numFmtId="184" fillId="2" borderId="2" applyFont="1" applyNumberFormat="1" applyFill="0" applyBorder="1" applyAlignment="0">
      <alignment horizontal="general" vertical="bottom" textRotation="0" wrapText="false" shrinkToFit="false"/>
    </xf>
    <xf xfId="0" fontId="45" numFmtId="184" fillId="2" borderId="7" applyFont="1" applyNumberFormat="1" applyFill="0" applyBorder="1" applyAlignment="0">
      <alignment horizontal="general" vertical="bottom" textRotation="0" wrapText="false" shrinkToFit="false"/>
    </xf>
    <xf xfId="0" fontId="45" numFmtId="18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3" applyFont="1" applyNumberFormat="1" applyFill="0" applyBorder="1" applyAlignment="0">
      <alignment horizontal="general" vertical="bottom" textRotation="0" wrapText="false" shrinkToFit="false"/>
    </xf>
    <xf xfId="0" fontId="119" numFmtId="0" fillId="2" borderId="0" applyFont="1" applyNumberFormat="0" applyFill="0" applyBorder="0" applyAlignment="1">
      <alignment horizontal="left" vertical="center" textRotation="0" wrapText="false" shrinkToFit="false"/>
    </xf>
    <xf xfId="0" fontId="17" numFmtId="0" fillId="2" borderId="9" applyFont="1" applyNumberFormat="0" applyFill="0" applyBorder="1" applyAlignment="0">
      <alignment horizontal="general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bottom" textRotation="0" wrapText="true" shrinkToFit="false" indent="2"/>
    </xf>
    <xf xfId="0" fontId="17" numFmtId="0" fillId="2" borderId="9" applyFont="1" applyNumberFormat="0" applyFill="0" applyBorder="1" applyAlignment="1">
      <alignment horizontal="left" vertical="bottom" textRotation="0" wrapText="false" shrinkToFit="false" indent="2"/>
    </xf>
    <xf xfId="0" fontId="5" numFmtId="169" fillId="2" borderId="2" applyFont="1" applyNumberFormat="1" applyFill="0" applyBorder="1" applyAlignment="1">
      <alignment horizontal="center" vertical="top" textRotation="0" wrapText="false" shrinkToFit="false"/>
    </xf>
    <xf xfId="0" fontId="5" numFmtId="168" fillId="2" borderId="9" applyFont="1" applyNumberFormat="1" applyFill="0" applyBorder="1" applyAlignment="1">
      <alignment horizontal="general" vertical="top" textRotation="0" wrapText="false" shrinkToFit="false"/>
    </xf>
    <xf xfId="0" fontId="5" numFmtId="169" fillId="2" borderId="0" applyFont="1" applyNumberFormat="1" applyFill="0" applyBorder="0" applyAlignment="1">
      <alignment horizontal="center" vertical="top" textRotation="0" wrapText="false" shrinkToFit="false"/>
    </xf>
    <xf xfId="0" fontId="5" numFmtId="169" fillId="2" borderId="9" applyFont="1" applyNumberFormat="1" applyFill="0" applyBorder="1" applyAlignment="1">
      <alignment horizontal="center" vertical="top" textRotation="0" wrapText="false" shrinkToFit="false"/>
    </xf>
    <xf xfId="0" fontId="8" numFmtId="169" fillId="2" borderId="9" applyFont="1" applyNumberFormat="1" applyFill="0" applyBorder="1" applyAlignment="1">
      <alignment horizontal="center" vertical="top" textRotation="0" wrapText="false" shrinkToFit="false"/>
    </xf>
    <xf xfId="0" fontId="8" numFmtId="169" fillId="2" borderId="2" applyFont="1" applyNumberFormat="1" applyFill="0" applyBorder="1" applyAlignment="1">
      <alignment horizontal="center" vertical="top" textRotation="0" wrapText="false" shrinkToFit="false"/>
    </xf>
    <xf xfId="0" fontId="8" numFmtId="169" fillId="2" borderId="0" applyFont="1" applyNumberFormat="1" applyFill="0" applyBorder="0" applyAlignment="1">
      <alignment horizontal="center" vertical="top" textRotation="0" wrapText="false" shrinkToFit="false"/>
    </xf>
    <xf xfId="0" fontId="5" numFmtId="181" fillId="2" borderId="2" applyFont="1" applyNumberFormat="1" applyFill="0" applyBorder="1" applyAlignment="0">
      <alignment horizontal="general" vertical="bottom" textRotation="0" wrapText="false" shrinkToFit="false"/>
    </xf>
    <xf xfId="0" fontId="5" numFmtId="181" fillId="2" borderId="2" applyFont="1" applyNumberFormat="1" applyFill="0" applyBorder="1" applyAlignment="0">
      <alignment horizontal="general" vertical="bottom" textRotation="0" wrapText="false" shrinkToFit="false"/>
    </xf>
    <xf xfId="0" fontId="5" numFmtId="181" fillId="2" borderId="0" applyFont="1" applyNumberFormat="1" applyFill="0" applyBorder="0" applyAlignment="0">
      <alignment horizontal="general" vertical="bottom" textRotation="0" wrapText="false" shrinkToFit="false"/>
    </xf>
    <xf xfId="0" fontId="120" numFmtId="0" fillId="2" borderId="0" applyFont="1" applyNumberFormat="0" applyFill="0" applyBorder="0" applyAlignment="0">
      <alignment horizontal="general" vertical="bottom" textRotation="0" wrapText="false" shrinkToFit="false"/>
    </xf>
    <xf xfId="0" fontId="24" numFmtId="181" fillId="2" borderId="3" applyFont="1" applyNumberFormat="1" applyFill="0" applyBorder="1" applyAlignment="0">
      <alignment horizontal="general" vertical="bottom" textRotation="0" wrapText="false" shrinkToFit="false"/>
    </xf>
    <xf xfId="0" fontId="24" numFmtId="181" fillId="2" borderId="1" applyFont="1" applyNumberFormat="1" applyFill="0" applyBorder="1" applyAlignment="0">
      <alignment horizontal="general" vertical="bottom" textRotation="0" wrapText="false" shrinkToFit="false"/>
    </xf>
    <xf xfId="0" fontId="121" numFmtId="168" fillId="2" borderId="0" applyFont="1" applyNumberFormat="1" applyFill="0" applyBorder="0" applyAlignment="0">
      <alignment horizontal="general" vertical="bottom" textRotation="0" wrapText="false" shrinkToFit="false"/>
    </xf>
    <xf xfId="0" fontId="5" numFmtId="181" fillId="2" borderId="7" applyFont="1" applyNumberFormat="1" applyFill="0" applyBorder="1" applyAlignment="0">
      <alignment horizontal="general" vertical="bottom" textRotation="0" wrapText="false" shrinkToFit="false"/>
    </xf>
    <xf xfId="0" fontId="2" numFmtId="0" fillId="2" borderId="14" applyFont="1" applyNumberFormat="0" applyFill="0" applyBorder="1" applyAlignment="0">
      <alignment horizontal="general" vertical="bottom" textRotation="0" wrapText="false" shrinkToFit="false"/>
    </xf>
    <xf xfId="0" fontId="24" numFmtId="181" fillId="2" borderId="2" applyFont="1" applyNumberFormat="1" applyFill="0" applyBorder="1" applyAlignment="1">
      <alignment horizontal="center" vertical="bottom" textRotation="0" wrapText="false" shrinkToFit="false"/>
    </xf>
    <xf xfId="0" fontId="24" numFmtId="181" fillId="2" borderId="7" applyFont="1" applyNumberFormat="1" applyFill="0" applyBorder="1" applyAlignment="1">
      <alignment horizontal="center" vertical="bottom" textRotation="0" wrapText="false" shrinkToFit="false"/>
    </xf>
    <xf xfId="0" fontId="45" numFmtId="181" fillId="2" borderId="2" applyFont="1" applyNumberFormat="1" applyFill="0" applyBorder="1" applyAlignment="0">
      <alignment horizontal="general" vertical="bottom" textRotation="0" wrapText="false" shrinkToFit="false"/>
    </xf>
    <xf xfId="0" fontId="45" numFmtId="181" fillId="2" borderId="0" applyFont="1" applyNumberFormat="1" applyFill="0" applyBorder="0" applyAlignment="0">
      <alignment horizontal="general" vertical="bottom" textRotation="0" wrapText="false" shrinkToFit="false"/>
    </xf>
    <xf xfId="0" fontId="121" numFmtId="168" fillId="2" borderId="0" applyFont="1" applyNumberFormat="1" applyFill="0" applyBorder="0" applyAlignment="0">
      <alignment horizontal="general" vertical="bottom" textRotation="0" wrapText="false" shrinkToFit="false"/>
    </xf>
    <xf xfId="0" fontId="45" numFmtId="181" fillId="2" borderId="1" applyFont="1" applyNumberFormat="1" applyFill="0" applyBorder="1" applyAlignment="0">
      <alignment horizontal="general" vertical="bottom" textRotation="0" wrapText="false" shrinkToFit="false"/>
    </xf>
    <xf xfId="0" fontId="45" numFmtId="175" fillId="2" borderId="6" applyFont="1" applyNumberFormat="1" applyFill="0" applyBorder="1" applyAlignment="0">
      <alignment horizontal="general" vertical="bottom" textRotation="0" wrapText="false" shrinkToFit="false"/>
    </xf>
    <xf xfId="0" fontId="45" numFmtId="181" fillId="2" borderId="6" applyFont="1" applyNumberFormat="1" applyFill="0" applyBorder="1" applyAlignment="0">
      <alignment horizontal="general" vertical="bottom" textRotation="0" wrapText="false" shrinkToFit="false"/>
    </xf>
    <xf xfId="0" fontId="5" numFmtId="181" fillId="2" borderId="2" applyFont="1" applyNumberFormat="1" applyFill="0" applyBorder="1" applyAlignment="1">
      <alignment horizontal="center" vertical="bottom" textRotation="0" wrapText="false" shrinkToFit="false"/>
    </xf>
    <xf xfId="0" fontId="5" numFmtId="181" fillId="2" borderId="7" applyFont="1" applyNumberFormat="1" applyFill="0" applyBorder="1" applyAlignment="1">
      <alignment horizontal="center" vertical="bottom" textRotation="0" wrapText="false" shrinkToFit="false"/>
    </xf>
    <xf xfId="0" fontId="78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190" fillId="2" borderId="2" applyFont="1" applyNumberFormat="1" applyFill="0" applyBorder="1" applyAlignment="1">
      <alignment horizontal="general" vertical="center" textRotation="0" wrapText="false" shrinkToFit="false"/>
    </xf>
    <xf xfId="0" fontId="5" numFmtId="190" fillId="2" borderId="0" applyFont="1" applyNumberFormat="1" applyFill="0" applyBorder="0" applyAlignment="1">
      <alignment horizontal="general" vertical="center" textRotation="0" wrapText="false" shrinkToFit="false"/>
    </xf>
    <xf xfId="0" fontId="8" numFmtId="168" fillId="2" borderId="7" applyFont="1" applyNumberFormat="1" applyFill="0" applyBorder="1" applyAlignment="1">
      <alignment horizontal="general" vertical="center" textRotation="0" wrapText="false" shrinkToFit="false"/>
    </xf>
    <xf xfId="0" fontId="24" numFmtId="190" fillId="2" borderId="2" applyFont="1" applyNumberFormat="1" applyFill="0" applyBorder="1" applyAlignment="0">
      <alignment horizontal="general" vertical="bottom" textRotation="0" wrapText="false" shrinkToFit="false"/>
    </xf>
    <xf xfId="0" fontId="24" numFmtId="190" fillId="2" borderId="7" applyFont="1" applyNumberFormat="1" applyFill="0" applyBorder="1" applyAlignment="0">
      <alignment horizontal="general" vertical="bottom" textRotation="0" wrapText="false" shrinkToFit="false"/>
    </xf>
    <xf xfId="0" fontId="24" numFmtId="190" fillId="2" borderId="3" applyFont="1" applyNumberFormat="1" applyFill="0" applyBorder="1" applyAlignment="0">
      <alignment horizontal="general" vertical="bottom" textRotation="0" wrapText="false" shrinkToFit="false"/>
    </xf>
    <xf xfId="0" fontId="24" numFmtId="190" fillId="2" borderId="1" applyFont="1" applyNumberFormat="1" applyFill="0" applyBorder="1" applyAlignment="0">
      <alignment horizontal="general" vertical="bottom" textRotation="0" wrapText="false" shrinkToFit="false"/>
    </xf>
    <xf xfId="0" fontId="24" numFmtId="190" fillId="2" borderId="2" applyFont="1" applyNumberFormat="1" applyFill="0" applyBorder="1" applyAlignment="1">
      <alignment horizontal="center" vertical="center" textRotation="0" wrapText="false" shrinkToFit="false"/>
    </xf>
    <xf xfId="0" fontId="24" numFmtId="190" fillId="2" borderId="7" applyFont="1" applyNumberFormat="1" applyFill="0" applyBorder="1" applyAlignment="1">
      <alignment horizontal="center" vertical="center" textRotation="0" wrapText="false" shrinkToFit="false"/>
    </xf>
    <xf xfId="0" fontId="24" numFmtId="190" fillId="2" borderId="2" applyFont="1" applyNumberFormat="1" applyFill="0" applyBorder="1" applyAlignment="1">
      <alignment horizontal="center" vertical="center" textRotation="0" wrapText="false" shrinkToFit="false"/>
    </xf>
    <xf xfId="0" fontId="24" numFmtId="190" fillId="2" borderId="7" applyFont="1" applyNumberFormat="1" applyFill="0" applyBorder="1" applyAlignment="1">
      <alignment horizontal="center" vertical="center" textRotation="0" wrapText="false" shrinkToFit="false"/>
    </xf>
    <xf xfId="0" fontId="43" numFmtId="49" fillId="2" borderId="2" applyFont="1" applyNumberFormat="1" applyFill="0" applyBorder="1" applyAlignment="1">
      <alignment horizontal="center" vertical="bottom" textRotation="0" wrapText="false" shrinkToFit="false"/>
    </xf>
    <xf xfId="0" fontId="24" numFmtId="190" fillId="2" borderId="2" applyFont="1" applyNumberFormat="1" applyFill="0" applyBorder="1" applyAlignment="0">
      <alignment horizontal="general" vertical="bottom" textRotation="0" wrapText="false" shrinkToFit="false"/>
    </xf>
    <xf xfId="0" fontId="24" numFmtId="190" fillId="2" borderId="7" applyFont="1" applyNumberFormat="1" applyFill="0" applyBorder="1" applyAlignment="0">
      <alignment horizontal="general" vertical="bottom" textRotation="0" wrapText="false" shrinkToFit="false"/>
    </xf>
    <xf xfId="0" fontId="51" numFmtId="169" fillId="2" borderId="0" applyFont="1" applyNumberFormat="1" applyFill="0" applyBorder="0" applyAlignment="0">
      <alignment horizontal="general" vertical="bottom" textRotation="0" wrapText="false" shrinkToFit="false"/>
    </xf>
    <xf xfId="0" fontId="5" numFmtId="175" fillId="2" borderId="0" applyFont="1" applyNumberFormat="1" applyFill="0" applyBorder="0" applyAlignment="0">
      <alignment horizontal="general" vertical="bottom" textRotation="0" wrapText="false" shrinkToFit="false"/>
    </xf>
    <xf xfId="0" fontId="27" numFmtId="169" fillId="2" borderId="0" applyFont="1" applyNumberFormat="1" applyFill="0" applyBorder="0" applyAlignment="0">
      <alignment horizontal="general" vertical="bottom" textRotation="0" wrapText="false" shrinkToFit="false"/>
    </xf>
    <xf xfId="0" fontId="24" numFmtId="175" fillId="2" borderId="0" applyFont="1" applyNumberFormat="1" applyFill="0" applyBorder="0" applyAlignment="0">
      <alignment horizontal="general" vertical="bottom" textRotation="0" wrapText="false" shrinkToFit="false"/>
    </xf>
    <xf xfId="0" fontId="24" numFmtId="175" fillId="2" borderId="2" applyFont="1" applyNumberFormat="1" applyFill="0" applyBorder="1" applyAlignment="0">
      <alignment horizontal="general" vertical="bottom" textRotation="0" wrapText="false" shrinkToFit="false"/>
    </xf>
    <xf xfId="0" fontId="24" numFmtId="175" fillId="2" borderId="7" applyFont="1" applyNumberFormat="1" applyFill="0" applyBorder="1" applyAlignment="0">
      <alignment horizontal="general" vertical="bottom" textRotation="0" wrapText="false" shrinkToFit="false"/>
    </xf>
    <xf xfId="0" fontId="28" numFmtId="169" fillId="2" borderId="0" applyFont="1" applyNumberFormat="1" applyFill="0" applyBorder="0" applyAlignment="0">
      <alignment horizontal="general" vertical="bottom" textRotation="0" wrapText="false" shrinkToFit="false"/>
    </xf>
    <xf xfId="0" fontId="16" numFmtId="0" fillId="2" borderId="1" applyFont="1" applyNumberFormat="0" applyFill="0" applyBorder="1" applyAlignment="1">
      <alignment horizontal="left" vertical="bottom" textRotation="0" wrapText="false" shrinkToFit="false" indent="1"/>
    </xf>
    <xf xfId="0" fontId="24" numFmtId="175" fillId="2" borderId="0" applyFont="1" applyNumberFormat="1" applyFill="0" applyBorder="0" applyAlignment="1">
      <alignment horizontal="center" vertical="bottom" textRotation="0" wrapText="false" shrinkToFit="false"/>
    </xf>
    <xf xfId="0" fontId="43" numFmtId="169" fillId="2" borderId="0" applyFont="1" applyNumberFormat="1" applyFill="0" applyBorder="0" applyAlignment="0">
      <alignment horizontal="general" vertical="bottom" textRotation="0" wrapText="false" shrinkToFit="false"/>
    </xf>
    <xf xfId="0" fontId="77" numFmtId="164" fillId="2" borderId="3" applyFont="1" applyNumberFormat="1" applyFill="0" applyBorder="1" applyAlignment="1">
      <alignment horizontal="general" vertical="center" textRotation="0" wrapText="false" shrinkToFit="false"/>
    </xf>
    <xf xfId="0" fontId="24" numFmtId="175" fillId="2" borderId="1" applyFont="1" applyNumberFormat="1" applyFill="0" applyBorder="1" applyAlignment="1">
      <alignment horizontal="general" vertical="center" textRotation="0" wrapText="false" shrinkToFit="false"/>
    </xf>
    <xf xfId="0" fontId="24" numFmtId="175" fillId="2" borderId="3" applyFont="1" applyNumberFormat="1" applyFill="0" applyBorder="1" applyAlignment="1">
      <alignment horizontal="general" vertical="center" textRotation="0" wrapText="false" shrinkToFit="false"/>
    </xf>
    <xf xfId="0" fontId="24" numFmtId="175" fillId="2" borderId="4" applyFont="1" applyNumberFormat="1" applyFill="0" applyBorder="1" applyAlignment="1">
      <alignment horizontal="general" vertical="center" textRotation="0" wrapText="false" shrinkToFit="false"/>
    </xf>
    <xf xfId="0" fontId="7" numFmtId="169" fillId="2" borderId="0" applyFont="1" applyNumberFormat="1" applyFill="0" applyBorder="0" applyAlignment="1">
      <alignment horizontal="general" vertical="center" textRotation="0" wrapText="false" shrinkToFit="false"/>
    </xf>
    <xf xfId="0" fontId="77" numFmtId="164" fillId="2" borderId="2" applyFont="1" applyNumberFormat="1" applyFill="0" applyBorder="1" applyAlignment="1">
      <alignment horizontal="general" vertical="center" textRotation="0" wrapText="false" shrinkToFit="false"/>
    </xf>
    <xf xfId="0" fontId="24" numFmtId="164" fillId="2" borderId="0" applyFont="1" applyNumberFormat="1" applyFill="0" applyBorder="0" applyAlignment="1">
      <alignment horizontal="general" vertical="center" textRotation="0" wrapText="false" shrinkToFit="false"/>
    </xf>
    <xf xfId="0" fontId="24" numFmtId="164" fillId="2" borderId="2" applyFont="1" applyNumberFormat="1" applyFill="0" applyBorder="1" applyAlignment="1">
      <alignment horizontal="general" vertical="center" textRotation="0" wrapText="false" shrinkToFit="false"/>
    </xf>
    <xf xfId="0" fontId="24" numFmtId="164" fillId="2" borderId="7" applyFont="1" applyNumberFormat="1" applyFill="0" applyBorder="1" applyAlignment="1">
      <alignment horizontal="general" vertical="center" textRotation="0" wrapText="false" shrinkToFit="false"/>
    </xf>
    <xf xfId="0" fontId="8" numFmtId="175" fillId="2" borderId="7" applyFont="1" applyNumberFormat="1" applyFill="0" applyBorder="1" applyAlignment="0">
      <alignment horizontal="general" vertical="bottom" textRotation="0" wrapText="false" shrinkToFit="false"/>
    </xf>
    <xf xfId="0" fontId="8" numFmtId="175" fillId="2" borderId="2" applyFont="1" applyNumberFormat="1" applyFill="0" applyBorder="1" applyAlignment="0">
      <alignment horizontal="general" vertical="bottom" textRotation="0" wrapText="false" shrinkToFit="false"/>
    </xf>
    <xf xfId="0" fontId="8" numFmtId="175" fillId="2" borderId="0" applyFont="1" applyNumberFormat="1" applyFill="0" applyBorder="0" applyAlignment="0">
      <alignment horizontal="general" vertical="bottom" textRotation="0" wrapText="false" shrinkToFit="false"/>
    </xf>
    <xf xfId="0" fontId="6" numFmtId="49" fillId="2" borderId="7" applyFont="1" applyNumberFormat="1" applyFill="0" applyBorder="1" applyAlignment="1">
      <alignment horizontal="center" vertical="bottom" textRotation="0" wrapText="false" shrinkToFit="false"/>
    </xf>
    <xf xfId="0" fontId="24" numFmtId="175" fillId="2" borderId="7" applyFont="1" applyNumberFormat="1" applyFill="0" applyBorder="1" applyAlignment="1">
      <alignment horizontal="general" vertical="center" textRotation="0" wrapText="false" shrinkToFit="false"/>
    </xf>
    <xf xfId="0" fontId="24" numFmtId="175" fillId="2" borderId="2" applyFont="1" applyNumberFormat="1" applyFill="0" applyBorder="1" applyAlignment="1">
      <alignment horizontal="general" vertical="center" textRotation="0" wrapText="false" shrinkToFit="false"/>
    </xf>
    <xf xfId="0" fontId="24" numFmtId="175" fillId="2" borderId="0" applyFont="1" applyNumberFormat="1" applyFill="0" applyBorder="0" applyAlignment="1">
      <alignment horizontal="general" vertical="center" textRotation="0" wrapText="false" shrinkToFit="false"/>
    </xf>
    <xf xfId="0" fontId="122" numFmtId="0" fillId="2" borderId="0" applyFont="1" applyNumberFormat="0" applyFill="0" applyBorder="0" applyAlignment="0">
      <alignment horizontal="general" vertical="bottom" textRotation="0" wrapText="false" shrinkToFit="false"/>
    </xf>
    <xf xfId="0" fontId="122" numFmtId="169" fillId="2" borderId="0" applyFont="1" applyNumberFormat="1" applyFill="0" applyBorder="0" applyAlignment="0">
      <alignment horizontal="general" vertical="bottom" textRotation="0" wrapText="false" shrinkToFit="false"/>
    </xf>
    <xf xfId="0" fontId="45" numFmtId="175" fillId="2" borderId="0" applyFont="1" applyNumberFormat="1" applyFill="0" applyBorder="0" applyAlignment="0">
      <alignment horizontal="general" vertical="bottom" textRotation="0" wrapText="false" shrinkToFit="false"/>
    </xf>
    <xf xfId="0" fontId="45" numFmtId="175" fillId="2" borderId="2" applyFont="1" applyNumberFormat="1" applyFill="0" applyBorder="1" applyAlignment="0">
      <alignment horizontal="general" vertical="bottom" textRotation="0" wrapText="false" shrinkToFit="false"/>
    </xf>
    <xf xfId="0" fontId="45" numFmtId="175" fillId="2" borderId="7" applyFont="1" applyNumberFormat="1" applyFill="0" applyBorder="1" applyAlignment="0">
      <alignment horizontal="general" vertical="bottom" textRotation="0" wrapText="false" shrinkToFit="false"/>
    </xf>
    <xf xfId="0" fontId="4" numFmtId="169" fillId="2" borderId="0" applyFont="1" applyNumberFormat="1" applyFill="0" applyBorder="0" applyAlignment="0">
      <alignment horizontal="general" vertical="bottom" textRotation="0" wrapText="false" shrinkToFit="false"/>
    </xf>
    <xf xfId="0" fontId="123" numFmtId="164" fillId="2" borderId="0" applyFont="1" applyNumberFormat="1" applyFill="0" applyBorder="0" applyAlignment="0">
      <alignment horizontal="general" vertical="bottom" textRotation="0" wrapText="false" shrinkToFit="false"/>
    </xf>
    <xf xfId="0" fontId="78" numFmtId="169" fillId="2" borderId="0" applyFont="1" applyNumberFormat="1" applyFill="0" applyBorder="0" applyAlignment="0">
      <alignment horizontal="general" vertical="bottom" textRotation="0" wrapText="false" shrinkToFit="false"/>
    </xf>
    <xf xfId="0" fontId="16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center" textRotation="0" wrapText="false" shrinkToFit="false"/>
    </xf>
    <xf xfId="0" fontId="5" numFmtId="181" fillId="2" borderId="7" applyFont="1" applyNumberFormat="1" applyFill="0" applyBorder="1" applyAlignment="1">
      <alignment horizontal="general" vertical="center" textRotation="0" wrapText="false" shrinkToFit="false"/>
    </xf>
    <xf xfId="0" fontId="5" numFmtId="168" fillId="2" borderId="7" applyFont="1" applyNumberFormat="1" applyFill="0" applyBorder="1" applyAlignment="1">
      <alignment horizontal="general" vertical="center" textRotation="0" wrapText="false" shrinkToFit="false"/>
    </xf>
    <xf xfId="0" fontId="5" numFmtId="168" fillId="2" borderId="13" applyFont="1" applyNumberFormat="1" applyFill="0" applyBorder="1" applyAlignment="1">
      <alignment horizontal="general" vertical="center" textRotation="0" wrapText="false" shrinkToFit="false"/>
    </xf>
    <xf xfId="0" fontId="6" numFmtId="0" fillId="2" borderId="7" applyFont="1" applyNumberFormat="0" applyFill="0" applyBorder="1" applyAlignment="1">
      <alignment horizontal="center" vertical="bottom" textRotation="0" wrapText="false" shrinkToFit="false"/>
    </xf>
    <xf xfId="0" fontId="24" numFmtId="181" fillId="2" borderId="7" applyFont="1" applyNumberFormat="1" applyFill="0" applyBorder="1" applyAlignment="0">
      <alignment horizontal="general" vertical="bottom" textRotation="0" wrapText="false" shrinkToFit="false"/>
    </xf>
    <xf xfId="0" fontId="6" numFmtId="0" fillId="2" borderId="4" applyFont="1" applyNumberFormat="0" applyFill="0" applyBorder="1" applyAlignment="1">
      <alignment horizontal="center" vertical="bottom" textRotation="0" wrapText="false" shrinkToFit="false"/>
    </xf>
    <xf xfId="0" fontId="24" numFmtId="181" fillId="2" borderId="13" applyFont="1" applyNumberFormat="1" applyFill="0" applyBorder="1" applyAlignment="1">
      <alignment horizontal="center" vertical="bottom" textRotation="0" wrapText="false" shrinkToFit="false"/>
    </xf>
    <xf xfId="0" fontId="24" numFmtId="181" fillId="2" borderId="7" applyFont="1" applyNumberFormat="1" applyFill="0" applyBorder="1" applyAlignment="1">
      <alignment horizontal="center" vertical="bottom" textRotation="0" wrapText="false" shrinkToFit="false"/>
    </xf>
    <xf xfId="0" fontId="24" numFmtId="181" fillId="2" borderId="13" applyFont="1" applyNumberFormat="1" applyFill="0" applyBorder="1" applyAlignment="1">
      <alignment horizontal="general" vertical="center" textRotation="0" wrapText="false" shrinkToFit="false"/>
    </xf>
    <xf xfId="0" fontId="24" numFmtId="181" fillId="2" borderId="7" applyFont="1" applyNumberFormat="1" applyFill="0" applyBorder="1" applyAlignment="1">
      <alignment horizontal="general" vertical="center" textRotation="0" wrapText="false" shrinkToFit="false"/>
    </xf>
    <xf xfId="0" fontId="24" numFmtId="164" fillId="2" borderId="4" applyFont="1" applyNumberFormat="1" applyFill="0" applyBorder="1" applyAlignment="1">
      <alignment horizontal="general" vertical="center" textRotation="0" wrapText="false" shrinkToFit="false"/>
    </xf>
    <xf xfId="0" fontId="24" numFmtId="181" fillId="2" borderId="13" applyFont="1" applyNumberFormat="1" applyFill="0" applyBorder="1" applyAlignment="0">
      <alignment horizontal="general" vertical="bottom" textRotation="0" wrapText="false" shrinkToFit="false"/>
    </xf>
    <xf xfId="0" fontId="24" numFmtId="181" fillId="2" borderId="7" applyFont="1" applyNumberFormat="1" applyFill="0" applyBorder="1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1">
      <alignment horizontal="left" vertical="bottom" textRotation="0" wrapText="false" shrinkToFit="false" indent="1"/>
    </xf>
    <xf xfId="0" fontId="8" numFmtId="181" fillId="2" borderId="13" applyFont="1" applyNumberFormat="1" applyFill="0" applyBorder="1" applyAlignment="0">
      <alignment horizontal="general" vertical="bottom" textRotation="0" wrapText="false" shrinkToFit="false"/>
    </xf>
    <xf xfId="0" fontId="8" numFmtId="181" fillId="2" borderId="7" applyFont="1" applyNumberFormat="1" applyFill="0" applyBorder="1" applyAlignment="0">
      <alignment horizontal="general" vertical="bottom" textRotation="0" wrapText="false" shrinkToFit="false"/>
    </xf>
    <xf xfId="0" fontId="124" numFmtId="0" fillId="2" borderId="0" applyFont="1" applyNumberFormat="0" applyFill="0" applyBorder="0" applyAlignment="0">
      <alignment horizontal="general" vertical="bottom" textRotation="0" wrapText="false" shrinkToFit="false"/>
    </xf>
    <xf xfId="0" fontId="124" numFmtId="169" fillId="2" borderId="0" applyFont="1" applyNumberFormat="1" applyFill="0" applyBorder="0" applyAlignment="0">
      <alignment horizontal="general" vertical="bottom" textRotation="0" wrapText="false" shrinkToFit="false"/>
    </xf>
    <xf xfId="0" fontId="45" numFmtId="181" fillId="2" borderId="13" applyFont="1" applyNumberFormat="1" applyFill="0" applyBorder="1" applyAlignment="0">
      <alignment horizontal="general" vertical="bottom" textRotation="0" wrapText="false" shrinkToFit="false"/>
    </xf>
    <xf xfId="0" fontId="45" numFmtId="181" fillId="2" borderId="7" applyFont="1" applyNumberFormat="1" applyFill="0" applyBorder="1" applyAlignment="0">
      <alignment horizontal="general" vertical="bottom" textRotation="0" wrapText="false" shrinkToFit="false"/>
    </xf>
    <xf xfId="0" fontId="39" numFmtId="0" fillId="2" borderId="1" applyFont="1" applyNumberFormat="0" applyFill="0" applyBorder="1" applyAlignment="0">
      <alignment horizontal="general" vertical="bottom" textRotation="0" wrapText="false" shrinkToFit="false"/>
    </xf>
    <xf xfId="0" fontId="125" numFmtId="164" fillId="2" borderId="4" applyFont="1" applyNumberFormat="1" applyFill="0" applyBorder="1" applyAlignment="0">
      <alignment horizontal="general" vertical="bottom" textRotation="0" wrapText="false" shrinkToFit="false"/>
    </xf>
    <xf xfId="0" fontId="8" numFmtId="165" fillId="2" borderId="0" applyFont="1" applyNumberFormat="1" applyFill="0" applyBorder="0" applyAlignment="1">
      <alignment horizontal="left" vertical="bottom" textRotation="0" wrapText="false" shrinkToFit="false"/>
    </xf>
    <xf xfId="0" fontId="8" numFmtId="169" fillId="2" borderId="2" applyFont="1" applyNumberFormat="1" applyFill="0" applyBorder="1" applyAlignment="1">
      <alignment horizontal="left" vertical="center" textRotation="0" wrapText="false" shrinkToFit="false"/>
    </xf>
    <xf xfId="0" fontId="8" numFmtId="169" fillId="2" borderId="0" applyFont="1" applyNumberFormat="1" applyFill="0" applyBorder="0" applyAlignment="1">
      <alignment horizontal="left" vertical="center" textRotation="0" wrapText="false" shrinkToFit="false"/>
    </xf>
    <xf xfId="0" fontId="8" numFmtId="175" fillId="2" borderId="2" applyFont="1" applyNumberFormat="1" applyFill="0" applyBorder="1" applyAlignment="1">
      <alignment horizontal="center" vertical="bottom" textRotation="0" wrapText="false" shrinkToFit="false"/>
    </xf>
    <xf xfId="0" fontId="5" numFmtId="169" fillId="2" borderId="0" applyFont="1" applyNumberFormat="1" applyFill="0" applyBorder="0" applyAlignment="1">
      <alignment horizontal="left" vertical="bottom" textRotation="0" wrapText="false" shrinkToFit="false"/>
    </xf>
    <xf xfId="0" fontId="8" numFmtId="169" fillId="2" borderId="2" applyFont="1" applyNumberFormat="1" applyFill="0" applyBorder="1" applyAlignment="1">
      <alignment horizontal="center" vertical="bottom" textRotation="0" wrapText="false" shrinkToFit="false"/>
    </xf>
    <xf xfId="0" fontId="90" numFmtId="169" fillId="2" borderId="0" applyFont="1" applyNumberFormat="1" applyFill="0" applyBorder="0" applyAlignment="1">
      <alignment horizontal="general" vertical="center" textRotation="0" wrapText="false" shrinkToFit="false"/>
    </xf>
    <xf xfId="0" fontId="0" numFmtId="169" fillId="2" borderId="0" applyFont="0" applyNumberFormat="1" applyFill="0" applyBorder="0" applyAlignment="1">
      <alignment horizontal="left" vertical="bottom" textRotation="0" wrapText="false" shrinkToFit="false"/>
    </xf>
    <xf xfId="0" fontId="90" numFmtId="169" fillId="2" borderId="0" applyFont="1" applyNumberFormat="1" applyFill="0" applyBorder="0" applyAlignment="1">
      <alignment horizontal="left" vertical="bottom" textRotation="0" wrapText="false" shrinkToFit="false"/>
    </xf>
    <xf xfId="0" fontId="0" numFmtId="0" fillId="2" borderId="7" applyFont="0" applyNumberFormat="0" applyFill="0" applyBorder="1" applyAlignment="1">
      <alignment horizontal="center" vertical="center" textRotation="0" wrapText="false" shrinkToFit="false"/>
    </xf>
    <xf xfId="0" fontId="0" numFmtId="0" fillId="2" borderId="9" applyFont="0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2" applyFont="0" applyNumberFormat="0" applyFill="0" applyBorder="1" applyAlignment="1">
      <alignment horizontal="center" vertical="center" textRotation="0" wrapText="false" shrinkToFit="false"/>
    </xf>
    <xf xfId="0" fontId="0" numFmtId="169" fillId="2" borderId="7" applyFont="0" applyNumberFormat="1" applyFill="0" applyBorder="1" applyAlignment="1">
      <alignment horizontal="center" vertical="center" textRotation="0" wrapText="false" shrinkToFit="false"/>
    </xf>
    <xf xfId="0" fontId="0" numFmtId="169" fillId="2" borderId="9" applyFont="0" applyNumberFormat="1" applyFill="0" applyBorder="1" applyAlignment="1">
      <alignment horizontal="center" vertical="center" textRotation="0" wrapText="false" shrinkToFit="false"/>
    </xf>
    <xf xfId="0" fontId="34" numFmtId="0" fillId="2" borderId="1" applyFont="1" applyNumberFormat="0" applyFill="0" applyBorder="1" applyAlignment="1">
      <alignment horizontal="center" vertical="center" textRotation="0" wrapText="true" shrinkToFit="false"/>
    </xf>
    <xf xfId="0" fontId="0" numFmtId="0" fillId="2" borderId="3" applyFont="0" applyNumberFormat="0" applyFill="0" applyBorder="1" applyAlignment="1">
      <alignment horizontal="general" vertical="center" textRotation="0" wrapText="false" shrinkToFit="false"/>
    </xf>
    <xf xfId="0" fontId="0" numFmtId="0" fillId="2" borderId="10" applyFont="0" applyNumberFormat="0" applyFill="0" applyBorder="1" applyAlignment="1">
      <alignment horizontal="general" vertical="center" textRotation="0" wrapText="false" shrinkToFit="false"/>
    </xf>
    <xf xfId="0" fontId="0" numFmtId="0" fillId="2" borderId="4" applyFont="0" applyNumberFormat="0" applyFill="0" applyBorder="1" applyAlignment="1">
      <alignment horizontal="general" vertical="center" textRotation="0" wrapText="false" shrinkToFit="false"/>
    </xf>
    <xf xfId="0" fontId="0" numFmtId="169" fillId="2" borderId="4" applyFont="0" applyNumberFormat="1" applyFill="0" applyBorder="1" applyAlignment="1">
      <alignment horizontal="general" vertical="center" textRotation="0" wrapText="false" shrinkToFit="false"/>
    </xf>
    <xf xfId="0" fontId="0" numFmtId="169" fillId="2" borderId="10" applyFont="0" applyNumberFormat="1" applyFill="0" applyBorder="1" applyAlignment="1">
      <alignment horizontal="general" vertical="center" textRotation="0" wrapText="false" shrinkToFit="false"/>
    </xf>
    <xf xfId="0" fontId="25" numFmtId="171" fillId="2" borderId="2" applyFont="1" applyNumberFormat="1" applyFill="0" applyBorder="1" applyAlignment="1">
      <alignment horizontal="left" vertical="bottom" textRotation="0" wrapText="false" shrinkToFit="false"/>
    </xf>
    <xf xfId="0" fontId="25" numFmtId="0" fillId="2" borderId="12" applyFont="1" applyNumberFormat="0" applyFill="0" applyBorder="1" applyAlignment="0">
      <alignment horizontal="general" vertical="bottom" textRotation="0" wrapText="false" shrinkToFit="false"/>
    </xf>
    <xf xfId="0" fontId="12" numFmtId="171" fillId="2" borderId="12" applyFont="1" applyNumberFormat="1" applyFill="0" applyBorder="1" applyAlignment="0">
      <alignment horizontal="general" vertical="bottom" textRotation="0" wrapText="false" shrinkToFit="false"/>
    </xf>
    <xf xfId="0" fontId="12" numFmtId="0" fillId="2" borderId="15" applyFont="1" applyNumberFormat="0" applyFill="0" applyBorder="1" applyAlignment="0">
      <alignment horizontal="general" vertical="bottom" textRotation="0" wrapText="false" shrinkToFit="false"/>
    </xf>
    <xf xfId="0" fontId="25" numFmtId="0" fillId="2" borderId="7" applyFont="1" applyNumberFormat="0" applyFill="0" applyBorder="1" applyAlignment="0">
      <alignment horizontal="general" vertical="bottom" textRotation="0" wrapText="false" shrinkToFit="false"/>
    </xf>
    <xf xfId="0" fontId="12" numFmtId="171" fillId="2" borderId="7" applyFont="1" applyNumberFormat="1" applyFill="0" applyBorder="1" applyAlignment="0">
      <alignment horizontal="general" vertical="bottom" textRotation="0" wrapText="false" shrinkToFit="false"/>
    </xf>
    <xf xfId="0" fontId="12" numFmtId="169" fillId="2" borderId="9" applyFont="1" applyNumberFormat="1" applyFill="0" applyBorder="1" applyAlignment="0">
      <alignment horizontal="general" vertical="bottom" textRotation="0" wrapText="false" shrinkToFit="false"/>
    </xf>
    <xf xfId="0" fontId="27" numFmtId="171" fillId="2" borderId="2" applyFont="1" applyNumberFormat="1" applyFill="0" applyBorder="1" applyAlignment="1">
      <alignment horizontal="left" vertical="bottom" textRotation="0" wrapText="false" shrinkToFit="false"/>
    </xf>
    <xf xfId="0" fontId="27" numFmtId="0" fillId="2" borderId="7" applyFont="1" applyNumberFormat="0" applyFill="0" applyBorder="1" applyAlignment="1">
      <alignment horizontal="general" vertical="center" textRotation="0" wrapText="false" shrinkToFit="false"/>
    </xf>
    <xf xfId="0" fontId="27" numFmtId="169" fillId="2" borderId="0" applyFont="1" applyNumberFormat="1" applyFill="0" applyBorder="0" applyAlignment="1">
      <alignment horizontal="left" vertical="bottom" textRotation="0" wrapText="false" shrinkToFit="false"/>
    </xf>
    <xf xfId="0" fontId="2" numFmtId="171" fillId="2" borderId="7" applyFont="1" applyNumberFormat="1" applyFill="0" applyBorder="1" applyAlignment="1">
      <alignment horizontal="general" vertical="center" textRotation="0" wrapText="false" shrinkToFit="false"/>
    </xf>
    <xf xfId="0" fontId="2" numFmtId="169" fillId="2" borderId="9" applyFont="1" applyNumberFormat="1" applyFill="0" applyBorder="1" applyAlignment="1">
      <alignment horizontal="general" vertical="center" textRotation="0" wrapText="false" shrinkToFit="false"/>
    </xf>
    <xf xfId="0" fontId="5" numFmtId="175" fillId="2" borderId="7" applyFont="1" applyNumberFormat="1" applyFill="0" applyBorder="1" applyAlignment="1">
      <alignment horizontal="left" vertical="center" textRotation="0" wrapText="false" shrinkToFit="false"/>
    </xf>
    <xf xfId="0" fontId="5" numFmtId="169" fillId="2" borderId="9" applyFont="1" applyNumberFormat="1" applyFill="0" applyBorder="1" applyAlignment="1">
      <alignment horizontal="left" vertical="center" textRotation="0" wrapText="false" shrinkToFit="false"/>
    </xf>
    <xf xfId="0" fontId="29" numFmtId="171" fillId="2" borderId="2" applyFont="1" applyNumberFormat="1" applyFill="0" applyBorder="1" applyAlignment="1">
      <alignment horizontal="left" vertical="bottom" textRotation="0" wrapText="false" shrinkToFit="false"/>
    </xf>
    <xf xfId="0" fontId="29" numFmtId="0" fillId="2" borderId="7" applyFont="1" applyNumberFormat="0" applyFill="0" applyBorder="1" applyAlignment="1">
      <alignment horizontal="left" vertical="bottom" textRotation="0" wrapText="false" shrinkToFit="false"/>
    </xf>
    <xf xfId="0" fontId="29" numFmtId="169" fillId="2" borderId="0" applyFont="1" applyNumberFormat="1" applyFill="0" applyBorder="0" applyAlignment="1">
      <alignment horizontal="left" vertical="bottom" textRotation="0" wrapText="false" shrinkToFit="false"/>
    </xf>
    <xf xfId="0" fontId="1" numFmtId="171" fillId="2" borderId="7" applyFont="1" applyNumberFormat="1" applyFill="0" applyBorder="1" applyAlignment="1">
      <alignment horizontal="left" vertical="bottom" textRotation="0" wrapText="false" shrinkToFit="false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27" numFmtId="170" fillId="2" borderId="7" applyFont="1" applyNumberFormat="1" applyFill="0" applyBorder="1" applyAlignment="1">
      <alignment horizontal="general" vertical="center" textRotation="0" wrapText="false" shrinkToFit="false"/>
    </xf>
    <xf xfId="0" fontId="5" numFmtId="169" fillId="2" borderId="7" applyFont="1" applyNumberFormat="1" applyFill="0" applyBorder="1" applyAlignment="1">
      <alignment horizontal="left" vertical="center" textRotation="0" wrapText="false" shrinkToFit="false"/>
    </xf>
    <xf xfId="0" fontId="27" numFmtId="171" fillId="2" borderId="2" applyFont="1" applyNumberFormat="1" applyFill="0" applyBorder="1" applyAlignment="1">
      <alignment horizontal="left" vertical="center" textRotation="0" wrapText="false" shrinkToFit="false"/>
    </xf>
    <xf xfId="0" fontId="27" numFmtId="171" fillId="2" borderId="2" applyFont="1" applyNumberFormat="1" applyFill="0" applyBorder="1" applyAlignment="1">
      <alignment horizontal="center" vertical="center" textRotation="0" wrapText="false" shrinkToFit="false"/>
    </xf>
    <xf xfId="0" fontId="27" numFmtId="169" fillId="2" borderId="7" applyFont="1" applyNumberFormat="1" applyFill="0" applyBorder="1" applyAlignment="1">
      <alignment horizontal="general" vertical="center" textRotation="0" wrapText="false" shrinkToFit="false"/>
    </xf>
    <xf xfId="0" fontId="24" numFmtId="175" fillId="2" borderId="9" applyFont="1" applyNumberFormat="1" applyFill="0" applyBorder="1" applyAlignment="1">
      <alignment horizontal="left" vertical="bottom" textRotation="0" wrapText="false" shrinkToFit="false"/>
    </xf>
    <xf xfId="0" fontId="24" numFmtId="175" fillId="2" borderId="10" applyFont="1" applyNumberFormat="1" applyFill="0" applyBorder="1" applyAlignment="1">
      <alignment horizontal="left" vertical="bottom" textRotation="0" wrapText="false" shrinkToFit="false"/>
    </xf>
    <xf xfId="0" fontId="33" numFmtId="171" fillId="2" borderId="2" applyFont="1" applyNumberFormat="1" applyFill="0" applyBorder="1" applyAlignment="1">
      <alignment horizontal="left" vertical="bottom" textRotation="0" wrapText="false" shrinkToFit="false"/>
    </xf>
    <xf xfId="0" fontId="30" numFmtId="0" fillId="2" borderId="7" applyFont="1" applyNumberFormat="0" applyFill="0" applyBorder="1" applyAlignment="0">
      <alignment horizontal="general" vertical="bottom" textRotation="0" wrapText="false" shrinkToFit="false"/>
    </xf>
    <xf xfId="0" fontId="33" numFmtId="171" fillId="2" borderId="7" applyFont="1" applyNumberFormat="1" applyFill="0" applyBorder="1" applyAlignment="0">
      <alignment horizontal="general" vertical="bottom" textRotation="0" wrapText="false" shrinkToFit="false"/>
    </xf>
    <xf xfId="0" fontId="33" numFmtId="169" fillId="2" borderId="9" applyFont="1" applyNumberFormat="1" applyFill="0" applyBorder="1" applyAlignment="0">
      <alignment horizontal="general" vertical="bottom" textRotation="0" wrapText="false" shrinkToFit="false"/>
    </xf>
    <xf xfId="0" fontId="8" numFmtId="175" fillId="2" borderId="2" applyFont="1" applyNumberFormat="1" applyFill="0" applyBorder="1" applyAlignment="1">
      <alignment horizontal="left" vertical="center" textRotation="0" wrapText="false" shrinkToFit="false"/>
    </xf>
    <xf xfId="0" fontId="8" numFmtId="175" fillId="2" borderId="0" applyFont="1" applyNumberFormat="1" applyFill="0" applyBorder="0" applyAlignment="1">
      <alignment horizontal="left" vertical="center" textRotation="0" wrapText="false" shrinkToFit="false"/>
    </xf>
    <xf xfId="0" fontId="32" numFmtId="169" fillId="2" borderId="2" applyFont="1" applyNumberFormat="1" applyFill="0" applyBorder="1" applyAlignment="0">
      <alignment horizontal="general" vertical="bottom" textRotation="0" wrapText="false" shrinkToFit="false"/>
    </xf>
    <xf xfId="0" fontId="5" numFmtId="171" fillId="2" borderId="7" applyFont="1" applyNumberFormat="1" applyFill="0" applyBorder="1" applyAlignment="0">
      <alignment horizontal="general" vertical="bottom" textRotation="0" wrapText="false" shrinkToFit="false"/>
    </xf>
    <xf xfId="0" fontId="5" numFmtId="169" fillId="2" borderId="9" applyFont="1" applyNumberFormat="1" applyFill="0" applyBorder="1" applyAlignment="0">
      <alignment horizontal="general" vertical="bottom" textRotation="0" wrapText="false" shrinkToFit="false"/>
    </xf>
    <xf xfId="0" fontId="5" numFmtId="171" fillId="2" borderId="2" applyFont="1" applyNumberFormat="1" applyFill="0" applyBorder="1" applyAlignment="1">
      <alignment horizontal="left" vertical="bottom" textRotation="0" wrapText="false" shrinkToFit="false"/>
    </xf>
    <xf xfId="0" fontId="4" numFmtId="171" fillId="2" borderId="7" applyFont="1" applyNumberFormat="1" applyFill="0" applyBorder="1" applyAlignment="0">
      <alignment horizontal="general" vertical="bottom" textRotation="0" wrapText="false" shrinkToFit="false"/>
    </xf>
    <xf xfId="0" fontId="4" numFmtId="0" fillId="2" borderId="9" applyFont="1" applyNumberFormat="0" applyFill="0" applyBorder="1" applyAlignment="0">
      <alignment horizontal="general" vertical="bottom" textRotation="0" wrapText="false" shrinkToFit="false"/>
    </xf>
    <xf xfId="0" fontId="45" numFmtId="175" fillId="2" borderId="0" applyFont="1" applyNumberFormat="1" applyFill="0" applyBorder="0" applyAlignment="1">
      <alignment horizontal="left" vertical="bottom" textRotation="0" wrapText="false" shrinkToFit="false"/>
    </xf>
    <xf xfId="0" fontId="42" numFmtId="164" fillId="2" borderId="0" applyFont="1" applyNumberFormat="1" applyFill="0" applyBorder="0" applyAlignment="1">
      <alignment horizontal="left" vertical="bottom" textRotation="0" wrapText="false" shrinkToFit="false"/>
    </xf>
    <xf xfId="0" fontId="43" numFmtId="0" fillId="2" borderId="2" applyFont="1" applyNumberFormat="0" applyFill="0" applyBorder="1" applyAlignment="0">
      <alignment horizontal="general" vertical="bottom" textRotation="0" wrapText="false" shrinkToFit="false"/>
    </xf>
    <xf xfId="0" fontId="43" numFmtId="0" fillId="2" borderId="7" applyFont="1" applyNumberFormat="0" applyFill="0" applyBorder="1" applyAlignment="0">
      <alignment horizontal="general" vertical="bottom" textRotation="0" wrapText="false" shrinkToFit="false"/>
    </xf>
    <xf xfId="0" fontId="43" numFmtId="0" fillId="2" borderId="9" applyFont="1" applyNumberFormat="0" applyFill="0" applyBorder="1" applyAlignment="0">
      <alignment horizontal="general" vertical="bottom" textRotation="0" wrapText="false" shrinkToFit="false"/>
    </xf>
    <xf xfId="0" fontId="0" numFmtId="0" fillId="2" borderId="7" applyFont="0" applyNumberFormat="0" applyFill="0" applyBorder="1" applyAlignment="0">
      <alignment horizontal="general" vertical="bottom" textRotation="0" wrapText="false" shrinkToFit="false"/>
    </xf>
    <xf xfId="0" fontId="0" numFmtId="171" fillId="2" borderId="7" applyFont="0" applyNumberFormat="1" applyFill="0" applyBorder="1" applyAlignment="0">
      <alignment horizontal="general" vertical="bottom" textRotation="0" wrapText="false" shrinkToFit="false"/>
    </xf>
    <xf xfId="0" fontId="0" numFmtId="169" fillId="2" borderId="0" applyFont="0" applyNumberFormat="1" applyFill="0" applyBorder="0" applyAlignment="1">
      <alignment horizontal="left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46" numFmtId="0" fillId="2" borderId="0" applyFont="1" applyNumberFormat="0" applyFill="0" applyBorder="0" applyAlignment="1">
      <alignment horizontal="center" vertical="center" textRotation="0" wrapText="false" shrinkToFit="false"/>
    </xf>
    <xf xfId="0" fontId="126" numFmtId="0" fillId="2" borderId="0" applyFont="1" applyNumberFormat="0" applyFill="0" applyBorder="0" applyAlignment="1">
      <alignment horizontal="center" vertical="center" textRotation="0" wrapText="false" shrinkToFit="false"/>
    </xf>
    <xf xfId="0" fontId="7" numFmtId="0" fillId="2" borderId="6" applyFont="1" applyNumberFormat="0" applyFill="0" applyBorder="1" applyAlignment="1">
      <alignment horizontal="center" vertical="center" textRotation="0" wrapText="false" shrinkToFit="false"/>
    </xf>
    <xf xfId="0" fontId="7" numFmtId="0" fillId="2" borderId="15" applyFont="1" applyNumberFormat="0" applyFill="0" applyBorder="1" applyAlignment="1">
      <alignment horizontal="center" vertical="center" textRotation="0" wrapText="false" shrinkToFit="false"/>
    </xf>
    <xf xfId="0" fontId="7" numFmtId="0" fillId="2" borderId="0" applyFont="1" applyNumberFormat="0" applyFill="0" applyBorder="0" applyAlignment="1">
      <alignment horizontal="center" vertical="center" textRotation="0" wrapText="false" shrinkToFit="false"/>
    </xf>
    <xf xfId="0" fontId="7" numFmtId="0" fillId="2" borderId="9" applyFont="1" applyNumberFormat="0" applyFill="0" applyBorder="1" applyAlignment="1">
      <alignment horizontal="center" vertical="center" textRotation="0" wrapText="false" shrinkToFit="false"/>
    </xf>
    <xf xfId="0" fontId="7" numFmtId="0" fillId="2" borderId="5" applyFont="1" applyNumberFormat="0" applyFill="0" applyBorder="1" applyAlignment="1">
      <alignment horizontal="center" vertical="center" textRotation="0" wrapText="true" shrinkToFit="false"/>
    </xf>
    <xf xfId="0" fontId="7" numFmtId="0" fillId="2" borderId="2" applyFont="1" applyNumberFormat="0" applyFill="0" applyBorder="1" applyAlignment="1">
      <alignment horizontal="center" vertical="center" textRotation="0" wrapText="true" shrinkToFit="false"/>
    </xf>
    <xf xfId="0" fontId="7" numFmtId="0" fillId="2" borderId="12" applyFont="1" applyNumberFormat="0" applyFill="0" applyBorder="1" applyAlignment="1">
      <alignment horizontal="center" vertical="center" textRotation="0" wrapText="true" shrinkToFit="false"/>
    </xf>
    <xf xfId="0" fontId="7" numFmtId="0" fillId="2" borderId="6" applyFont="1" applyNumberFormat="0" applyFill="0" applyBorder="1" applyAlignment="1">
      <alignment horizontal="center" vertical="center" textRotation="0" wrapText="true" shrinkToFit="false"/>
    </xf>
    <xf xfId="0" fontId="7" numFmtId="0" fillId="2" borderId="15" applyFont="1" applyNumberFormat="0" applyFill="0" applyBorder="1" applyAlignment="1">
      <alignment horizontal="center" vertical="center" textRotation="0" wrapText="true" shrinkToFit="false"/>
    </xf>
    <xf xfId="0" fontId="7" numFmtId="0" fillId="2" borderId="4" applyFont="1" applyNumberFormat="0" applyFill="0" applyBorder="1" applyAlignment="1">
      <alignment horizontal="center" vertical="center" textRotation="0" wrapText="true" shrinkToFit="false"/>
    </xf>
    <xf xfId="0" fontId="7" numFmtId="0" fillId="2" borderId="1" applyFont="1" applyNumberFormat="0" applyFill="0" applyBorder="1" applyAlignment="1">
      <alignment horizontal="center" vertical="center" textRotation="0" wrapText="true" shrinkToFit="false"/>
    </xf>
    <xf xfId="0" fontId="7" numFmtId="0" fillId="2" borderId="10" applyFont="1" applyNumberFormat="0" applyFill="0" applyBorder="1" applyAlignment="1">
      <alignment horizontal="center" vertical="center" textRotation="0" wrapText="true" shrinkToFit="false"/>
    </xf>
    <xf xfId="0" fontId="7" numFmtId="0" fillId="2" borderId="7" applyFont="1" applyNumberFormat="0" applyFill="0" applyBorder="1" applyAlignment="1">
      <alignment horizontal="center" vertical="center" textRotation="0" wrapText="true" shrinkToFit="false"/>
    </xf>
    <xf xfId="0" fontId="34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4" numFmtId="0" fillId="2" borderId="1" applyFont="1" applyNumberFormat="0" applyFill="0" applyBorder="1" applyAlignment="1">
      <alignment horizontal="center" vertical="center" textRotation="0" wrapText="false" shrinkToFit="false"/>
    </xf>
    <xf xfId="0" fontId="34" numFmtId="0" fillId="2" borderId="10" applyFont="1" applyNumberFormat="0" applyFill="0" applyBorder="1" applyAlignment="1">
      <alignment horizontal="center" vertical="center" textRotation="0" wrapText="false" shrinkToFit="false"/>
    </xf>
    <xf xfId="0" fontId="5" numFmtId="168" fillId="2" borderId="0" applyFont="1" applyNumberFormat="1" applyFill="0" applyBorder="0" applyAlignment="1">
      <alignment horizontal="left" vertical="bottom" textRotation="0" wrapText="false" shrinkToFit="false"/>
    </xf>
    <xf xfId="0" fontId="5" numFmtId="168" fillId="2" borderId="0" applyFont="1" applyNumberFormat="1" applyFill="0" applyBorder="0" applyAlignment="1">
      <alignment horizontal="center" vertical="bottom" textRotation="0" wrapText="false" shrinkToFit="false"/>
    </xf>
    <xf xfId="0" fontId="39" numFmtId="0" fillId="2" borderId="0" applyFont="1" applyNumberFormat="0" applyFill="0" applyBorder="0" applyAlignment="1">
      <alignment horizontal="center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center" textRotation="0" wrapText="true" shrinkToFit="false" indent="1"/>
    </xf>
    <xf xfId="0" fontId="4" numFmtId="0" fillId="2" borderId="0" applyFont="1" applyNumberFormat="0" applyFill="0" applyBorder="0" applyAlignment="1">
      <alignment horizontal="justify" vertical="top" textRotation="0" wrapText="true" shrinkToFit="false"/>
    </xf>
    <xf xfId="0" fontId="11" numFmtId="168" fillId="2" borderId="0" applyFont="1" applyNumberFormat="1" applyFill="0" applyBorder="0" applyAlignment="1">
      <alignment horizontal="center" vertical="bottom" textRotation="0" wrapText="false" shrinkToFit="false"/>
    </xf>
    <xf xfId="0" fontId="5" numFmtId="168" fillId="2" borderId="0" applyFont="1" applyNumberFormat="1" applyFill="0" applyBorder="0" applyAlignment="1">
      <alignment horizontal="left" vertical="bottom" textRotation="0" wrapText="false" shrinkToFit="false"/>
    </xf>
    <xf xfId="0" fontId="5" numFmtId="168" fillId="2" borderId="0" applyFont="1" applyNumberFormat="1" applyFill="0" applyBorder="0" applyAlignment="1">
      <alignment horizontal="center" vertical="bottom" textRotation="0" wrapText="false" shrinkToFit="false"/>
    </xf>
    <xf xfId="0" fontId="11" numFmtId="168" fillId="2" borderId="0" applyFont="1" applyNumberFormat="1" applyFill="0" applyBorder="0" applyAlignment="1">
      <alignment horizontal="center" vertical="bottom" textRotation="0" wrapText="false" shrinkToFit="false"/>
    </xf>
    <xf xfId="0" fontId="11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39" numFmtId="168" fillId="2" borderId="0" applyFont="1" applyNumberFormat="1" applyFill="0" applyBorder="0" applyAlignment="1">
      <alignment horizontal="center" vertical="bottom" textRotation="0" wrapText="false" shrinkToFit="false"/>
    </xf>
    <xf xfId="0" fontId="16" numFmtId="0" fillId="2" borderId="0" applyFont="1" applyNumberFormat="0" applyFill="0" applyBorder="0" applyAlignment="1">
      <alignment horizontal="left" vertical="center" textRotation="0" wrapText="false" shrinkToFit="false"/>
    </xf>
    <xf xfId="0" fontId="11" numFmtId="0" fillId="2" borderId="8" applyFont="1" applyNumberFormat="0" applyFill="0" applyBorder="1" applyAlignment="1">
      <alignment horizontal="center" vertical="bottom" textRotation="0" wrapText="false" shrinkToFit="false"/>
    </xf>
    <xf xfId="0" fontId="11" numFmtId="0" fillId="2" borderId="16" applyFont="1" applyNumberFormat="0" applyFill="0" applyBorder="1" applyAlignment="1">
      <alignment horizontal="center" vertical="bottom" textRotation="0" wrapText="false" shrinkToFit="false"/>
    </xf>
    <xf xfId="0" fontId="11" numFmtId="0" fillId="2" borderId="14" applyFont="1" applyNumberFormat="0" applyFill="0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justify" vertical="justify" textRotation="0" wrapText="true" shrinkToFit="false"/>
    </xf>
    <xf xfId="0" fontId="11" numFmtId="0" fillId="2" borderId="17" applyFont="1" applyNumberFormat="0" applyFill="0" applyBorder="1" applyAlignment="1">
      <alignment horizontal="center" vertical="bottom" textRotation="0" wrapText="false" shrinkToFit="false"/>
    </xf>
    <xf xfId="0" fontId="11" numFmtId="0" fillId="2" borderId="18" applyFont="1" applyNumberFormat="0" applyFill="0" applyBorder="1" applyAlignment="1">
      <alignment horizontal="center" vertical="bottom" textRotation="0" wrapText="false" shrinkToFit="false"/>
    </xf>
    <xf xfId="0" fontId="11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left" vertical="bottom" textRotation="0" wrapText="true" shrinkToFit="false"/>
    </xf>
    <xf xfId="0" fontId="89" numFmtId="0" fillId="2" borderId="0" applyFont="1" applyNumberFormat="0" applyFill="0" applyBorder="0" applyAlignment="1">
      <alignment horizontal="center" vertical="bottom" textRotation="0" wrapText="false" shrinkToFit="false"/>
    </xf>
    <xf xfId="0" fontId="17" numFmtId="0" fillId="2" borderId="0" applyFont="1" applyNumberFormat="0" applyFill="0" applyBorder="0" applyAlignment="1">
      <alignment horizontal="left" vertical="bottom" textRotation="0" wrapText="true" shrinkToFit="false" indent="2"/>
    </xf>
    <xf xfId="0" fontId="17" numFmtId="0" fillId="2" borderId="9" applyFont="1" applyNumberFormat="0" applyFill="0" applyBorder="1" applyAlignment="1">
      <alignment horizontal="left" vertical="bottom" textRotation="0" wrapText="true" shrinkToFit="false" indent="2"/>
    </xf>
    <xf xfId="0" fontId="5" numFmtId="0" fillId="2" borderId="0" applyFont="1" applyNumberFormat="0" applyFill="0" applyBorder="0" applyAlignment="1">
      <alignment horizontal="center" vertical="bottom" textRotation="0" wrapText="true" shrinkToFit="false"/>
    </xf>
    <xf xfId="0" fontId="5" numFmtId="0" fillId="2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12" applyFont="0" applyNumberFormat="0" applyFill="0" applyBorder="1" applyAlignment="1">
      <alignment horizontal="center" vertical="center" textRotation="0" wrapText="false" shrinkToFit="false"/>
    </xf>
    <xf xfId="0" fontId="0" numFmtId="0" fillId="2" borderId="6" applyFont="0" applyNumberFormat="0" applyFill="0" applyBorder="1" applyAlignment="1">
      <alignment horizontal="center" vertical="center" textRotation="0" wrapText="false" shrinkToFit="false"/>
    </xf>
    <xf xfId="0" fontId="0" numFmtId="0" fillId="2" borderId="15" applyFont="0" applyNumberFormat="0" applyFill="0" applyBorder="1" applyAlignment="1">
      <alignment horizontal="center" vertical="center" textRotation="0" wrapText="false" shrinkToFit="false"/>
    </xf>
    <xf xfId="0" fontId="0" numFmtId="0" fillId="2" borderId="7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9" applyFont="0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23</xdr:row>
      <xdr:rowOff>19050</xdr:rowOff>
    </xdr:from>
    <xdr:to>
      <xdr:col>5</xdr:col>
      <xdr:colOff>2028825</xdr:colOff>
      <xdr:row>23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7026CAD-7C05-8C19-AFC0-DC0929DD1B09}"/>
            </a:ext>
          </a:extLst>
        </xdr:cNvPr>
        <xdr:cNvCxnSpPr/>
      </xdr:nvCxnSpPr>
      <xdr:spPr>
        <a:xfrm>
          <a:off x="3848100" y="461010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119</xdr:row>
      <xdr:rowOff>44450</xdr:rowOff>
    </xdr:from>
    <xdr:to>
      <xdr:col>3</xdr:col>
      <xdr:colOff>1009650</xdr:colOff>
      <xdr:row>122</xdr:row>
      <xdr:rowOff>69850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553E22-8BB2-3868-C1D6-04830567F066}"/>
            </a:ext>
          </a:extLst>
        </xdr:cNvPr>
        <xdr:cNvSpPr txBox="1"/>
      </xdr:nvSpPr>
      <xdr:spPr>
        <a:xfrm>
          <a:off x="0" y="21723350"/>
          <a:ext cx="2028825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en-PH" sz="1000" b="1">
              <a:latin typeface="Arial" panose="020B0604020202020204" pitchFamily="34" charset="0"/>
              <a:cs typeface="Arial" panose="020B0604020202020204" pitchFamily="34" charset="0"/>
            </a:rPr>
            <a:t>ATTY. JEFFREY</a:t>
          </a:r>
          <a:r>
            <a:rPr lang="en-PH" sz="1000" b="1" baseline="0">
              <a:latin typeface="Arial" panose="020B0604020202020204" pitchFamily="34" charset="0"/>
              <a:cs typeface="Arial" panose="020B0604020202020204" pitchFamily="34" charset="0"/>
            </a:rPr>
            <a:t> P. GALIDO</a:t>
          </a:r>
        </a:p>
        <a:p>
          <a:pPr algn="ctr">
            <a:lnSpc>
              <a:spcPts val="900"/>
            </a:lnSpc>
          </a:pPr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City Government Department Head I</a:t>
          </a:r>
        </a:p>
        <a:p>
          <a:pPr algn="ctr">
            <a:lnSpc>
              <a:spcPts val="900"/>
            </a:lnSpc>
          </a:pPr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City Budget Officer</a:t>
          </a:r>
          <a:endParaRPr lang="en-PH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292100</xdr:colOff>
      <xdr:row>119</xdr:row>
      <xdr:rowOff>44450</xdr:rowOff>
    </xdr:from>
    <xdr:to>
      <xdr:col>6</xdr:col>
      <xdr:colOff>628650</xdr:colOff>
      <xdr:row>122</xdr:row>
      <xdr:rowOff>69850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11A9BA7-58FA-9BC0-FB5E-7F5D5A40B6D2}"/>
            </a:ext>
          </a:extLst>
        </xdr:cNvPr>
        <xdr:cNvSpPr txBox="1"/>
      </xdr:nvSpPr>
      <xdr:spPr>
        <a:xfrm>
          <a:off x="2444750" y="21723350"/>
          <a:ext cx="2032000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en-PH" sz="1000" b="1">
              <a:latin typeface="Arial" panose="020B0604020202020204" pitchFamily="34" charset="0"/>
              <a:cs typeface="Arial" panose="020B0604020202020204" pitchFamily="34" charset="0"/>
            </a:rPr>
            <a:t>NELSON S. ALCALA</a:t>
          </a:r>
          <a:endParaRPr lang="en-PH" sz="10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900"/>
            </a:lnSpc>
          </a:pPr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City Government Department Head I</a:t>
          </a:r>
        </a:p>
        <a:p>
          <a:pPr algn="ctr">
            <a:lnSpc>
              <a:spcPts val="900"/>
            </a:lnSpc>
          </a:pPr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City Treasurer</a:t>
          </a:r>
          <a:endParaRPr lang="en-PH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228600</xdr:colOff>
      <xdr:row>119</xdr:row>
      <xdr:rowOff>44450</xdr:rowOff>
    </xdr:from>
    <xdr:to>
      <xdr:col>9</xdr:col>
      <xdr:colOff>406400</xdr:colOff>
      <xdr:row>122</xdr:row>
      <xdr:rowOff>69850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96E999F-68F7-83B6-EFA3-B730BB3BA269}"/>
            </a:ext>
          </a:extLst>
        </xdr:cNvPr>
        <xdr:cNvSpPr txBox="1"/>
      </xdr:nvSpPr>
      <xdr:spPr>
        <a:xfrm>
          <a:off x="4924425" y="21723350"/>
          <a:ext cx="2406650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en-PH" sz="1000" b="1">
              <a:latin typeface="Arial" panose="020B0604020202020204" pitchFamily="34" charset="0"/>
              <a:cs typeface="Arial" panose="020B0604020202020204" pitchFamily="34" charset="0"/>
            </a:rPr>
            <a:t>DOMINADOR H. GUALBERTO II</a:t>
          </a:r>
          <a:endParaRPr lang="en-PH" sz="10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900"/>
            </a:lnSpc>
          </a:pPr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City Government Department Head I</a:t>
          </a:r>
        </a:p>
        <a:p>
          <a:pPr algn="ctr">
            <a:lnSpc>
              <a:spcPts val="900"/>
            </a:lnSpc>
          </a:pPr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City Planning and Development Coordinator</a:t>
          </a:r>
          <a:endParaRPr lang="en-PH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793750</xdr:colOff>
      <xdr:row>119</xdr:row>
      <xdr:rowOff>44450</xdr:rowOff>
    </xdr:from>
    <xdr:to>
      <xdr:col>12</xdr:col>
      <xdr:colOff>0</xdr:colOff>
      <xdr:row>122</xdr:row>
      <xdr:rowOff>69850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B32D73A-50B4-93C9-5A89-E4741B9F31BE}"/>
            </a:ext>
          </a:extLst>
        </xdr:cNvPr>
        <xdr:cNvSpPr txBox="1"/>
      </xdr:nvSpPr>
      <xdr:spPr>
        <a:xfrm>
          <a:off x="7718425" y="21723350"/>
          <a:ext cx="2549525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 b="1" baseline="0">
              <a:latin typeface="Arial" panose="020B0604020202020204" pitchFamily="34" charset="0"/>
              <a:cs typeface="Arial" panose="020B0604020202020204" pitchFamily="34" charset="0"/>
            </a:rPr>
            <a:t>EMMADEL V. LISONDRA, CPA</a:t>
          </a:r>
        </a:p>
        <a:p>
          <a:pPr algn="ctr"/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City Government Assistant Department Head I</a:t>
          </a:r>
        </a:p>
        <a:p>
          <a:pPr algn="ctr"/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Acting City Accountant</a:t>
          </a:r>
          <a:endParaRPr lang="en-PH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44450</xdr:rowOff>
    </xdr:from>
    <xdr:to>
      <xdr:col>4</xdr:col>
      <xdr:colOff>0</xdr:colOff>
      <xdr:row>70</xdr:row>
      <xdr:rowOff>69850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C54B6B-1AF0-D612-7B61-62BC247015FC}"/>
            </a:ext>
          </a:extLst>
        </xdr:cNvPr>
        <xdr:cNvSpPr txBox="1"/>
      </xdr:nvSpPr>
      <xdr:spPr>
        <a:xfrm>
          <a:off x="0" y="13522325"/>
          <a:ext cx="2152650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 b="1">
              <a:latin typeface="Arial" panose="020B0604020202020204" pitchFamily="34" charset="0"/>
              <a:cs typeface="Arial" panose="020B0604020202020204" pitchFamily="34" charset="0"/>
            </a:rPr>
            <a:t>ATTY. JEFFREY</a:t>
          </a:r>
          <a:r>
            <a:rPr lang="en-PH" sz="1000" b="1" baseline="0">
              <a:latin typeface="Arial" panose="020B0604020202020204" pitchFamily="34" charset="0"/>
              <a:cs typeface="Arial" panose="020B0604020202020204" pitchFamily="34" charset="0"/>
            </a:rPr>
            <a:t> P. GALIDO</a:t>
          </a:r>
        </a:p>
        <a:p>
          <a:pPr algn="ctr"/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City Government Department Head I</a:t>
          </a:r>
        </a:p>
        <a:p>
          <a:pPr algn="ctr"/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City Budget Officer</a:t>
          </a:r>
          <a:endParaRPr lang="en-PH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292100</xdr:colOff>
      <xdr:row>67</xdr:row>
      <xdr:rowOff>44450</xdr:rowOff>
    </xdr:from>
    <xdr:to>
      <xdr:col>6</xdr:col>
      <xdr:colOff>762000</xdr:colOff>
      <xdr:row>70</xdr:row>
      <xdr:rowOff>69850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2F8E1E-0CD9-3483-FFDA-B73D357AB0B7}"/>
            </a:ext>
          </a:extLst>
        </xdr:cNvPr>
        <xdr:cNvSpPr txBox="1"/>
      </xdr:nvSpPr>
      <xdr:spPr>
        <a:xfrm>
          <a:off x="2444750" y="13522325"/>
          <a:ext cx="2165350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 b="1">
              <a:latin typeface="Arial" panose="020B0604020202020204" pitchFamily="34" charset="0"/>
              <a:cs typeface="Arial" panose="020B0604020202020204" pitchFamily="34" charset="0"/>
            </a:rPr>
            <a:t>NELSON S. ALCALA</a:t>
          </a:r>
          <a:endParaRPr lang="en-PH" sz="10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City Government Department Head I</a:t>
          </a:r>
        </a:p>
        <a:p>
          <a:pPr algn="ctr"/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City Treasurer</a:t>
          </a:r>
          <a:endParaRPr lang="en-PH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228600</xdr:colOff>
      <xdr:row>67</xdr:row>
      <xdr:rowOff>44450</xdr:rowOff>
    </xdr:from>
    <xdr:to>
      <xdr:col>9</xdr:col>
      <xdr:colOff>552450</xdr:colOff>
      <xdr:row>70</xdr:row>
      <xdr:rowOff>69850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9511F1-8B86-D439-8E8B-4D1FD53AFF24}"/>
            </a:ext>
          </a:extLst>
        </xdr:cNvPr>
        <xdr:cNvSpPr txBox="1"/>
      </xdr:nvSpPr>
      <xdr:spPr>
        <a:xfrm>
          <a:off x="4924425" y="13522325"/>
          <a:ext cx="2552700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 b="1">
              <a:latin typeface="Arial" panose="020B0604020202020204" pitchFamily="34" charset="0"/>
              <a:cs typeface="Arial" panose="020B0604020202020204" pitchFamily="34" charset="0"/>
            </a:rPr>
            <a:t>DOMINADOR H. GUALBERTO II</a:t>
          </a:r>
          <a:endParaRPr lang="en-PH" sz="10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City Government Department Head I</a:t>
          </a:r>
        </a:p>
        <a:p>
          <a:pPr algn="ctr"/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City Planning and Development Coordinator</a:t>
          </a:r>
          <a:endParaRPr lang="en-PH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793750</xdr:colOff>
      <xdr:row>67</xdr:row>
      <xdr:rowOff>44450</xdr:rowOff>
    </xdr:from>
    <xdr:to>
      <xdr:col>12</xdr:col>
      <xdr:colOff>0</xdr:colOff>
      <xdr:row>70</xdr:row>
      <xdr:rowOff>69850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8924505-D0E1-2292-638E-8B9467220F12}"/>
            </a:ext>
          </a:extLst>
        </xdr:cNvPr>
        <xdr:cNvSpPr txBox="1"/>
      </xdr:nvSpPr>
      <xdr:spPr>
        <a:xfrm>
          <a:off x="7718425" y="13522325"/>
          <a:ext cx="2549525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 b="1" baseline="0">
              <a:latin typeface="Arial" panose="020B0604020202020204" pitchFamily="34" charset="0"/>
              <a:cs typeface="Arial" panose="020B0604020202020204" pitchFamily="34" charset="0"/>
            </a:rPr>
            <a:t>EMMADEL V. LISONDRA, CPA</a:t>
          </a:r>
        </a:p>
        <a:p>
          <a:pPr algn="ctr"/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City Government Assistant Department Head I</a:t>
          </a:r>
        </a:p>
        <a:p>
          <a:pPr algn="ctr"/>
          <a:r>
            <a:rPr lang="en-PH" sz="900" baseline="0">
              <a:latin typeface="Arial" panose="020B0604020202020204" pitchFamily="34" charset="0"/>
              <a:cs typeface="Arial" panose="020B0604020202020204" pitchFamily="34" charset="0"/>
            </a:rPr>
            <a:t>Acting City Accountant</a:t>
          </a:r>
          <a:endParaRPr lang="en-PH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6"/>
  <sheetViews>
    <sheetView tabSelected="1" workbookViewId="0" showGridLines="false" showRowColHeaders="1">
      <selection activeCell="A6" sqref="A6:J6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0.7109375" customWidth="true" style="9"/>
    <col min="6" max="6" width="14.7109375" customWidth="true" style="7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13"/>
    <col min="12" max="12" width="16.7109375" customWidth="true" style="13"/>
    <col min="13" max="13" width="15.7109375" customWidth="true" style="93"/>
    <col min="14" max="14" width="15" customWidth="true" style="9"/>
    <col min="15" max="15" width="13.85546875" customWidth="true" style="9"/>
    <col min="16" max="16" width="14.5703125" customWidth="true" style="93"/>
    <col min="17" max="17" width="15.7109375" customWidth="true" style="126"/>
    <col min="18" max="18" width="16.140625" customWidth="true" style="0"/>
    <col min="19" max="19" width="12.7109375" customWidth="true" style="86"/>
  </cols>
  <sheetData>
    <row r="1" spans="1:19" customHeight="1" ht="9.95" s="173" customFormat="1">
      <c r="A1" s="173" t="s">
        <v>0</v>
      </c>
      <c r="J1" s="174"/>
      <c r="L1" s="175"/>
    </row>
    <row r="2" spans="1:19" customHeight="1" ht="9.95" s="173" customFormat="1">
      <c r="A2" s="173" t="s">
        <v>1</v>
      </c>
      <c r="J2" s="174"/>
      <c r="L2" s="175"/>
    </row>
    <row r="3" spans="1:19" customHeight="1" ht="9.95" s="173" customFormat="1">
      <c r="A3" s="173" t="s">
        <v>2</v>
      </c>
      <c r="J3" s="174"/>
      <c r="L3" s="175"/>
    </row>
    <row r="4" spans="1:19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9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9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9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9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7</v>
      </c>
    </row>
    <row r="9" spans="1:19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19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9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9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9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9" customHeight="1" ht="13.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9" customHeight="1" ht="9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9" customHeight="1" ht="14.1" s="16" customFormat="1">
      <c r="A16" s="70" t="s">
        <v>24</v>
      </c>
      <c r="B16" s="20"/>
      <c r="C16" s="32"/>
      <c r="D16" s="32"/>
      <c r="E16" s="17"/>
      <c r="F16" s="17"/>
      <c r="G16" s="204"/>
      <c r="H16" s="205"/>
      <c r="I16" s="205"/>
      <c r="J16" s="205"/>
      <c r="K16" s="204"/>
      <c r="L16" s="186"/>
      <c r="M16" s="94"/>
      <c r="N16" s="78"/>
      <c r="O16" s="78"/>
      <c r="P16" s="94"/>
      <c r="Q16" s="114"/>
      <c r="S16" s="83"/>
    </row>
    <row r="17" spans="1:19" customHeight="1" ht="14.1" s="16" customFormat="1">
      <c r="A17" s="59" t="s">
        <v>25</v>
      </c>
      <c r="B17" s="20"/>
      <c r="C17" s="32"/>
      <c r="D17" s="32"/>
      <c r="E17" s="17"/>
      <c r="F17" s="17"/>
      <c r="G17" s="206"/>
      <c r="H17" s="207"/>
      <c r="I17" s="207"/>
      <c r="J17" s="207"/>
      <c r="K17" s="206"/>
      <c r="L17" s="186"/>
      <c r="M17" s="94"/>
      <c r="N17" s="78"/>
      <c r="O17" s="78"/>
      <c r="P17" s="94"/>
      <c r="Q17" s="114"/>
      <c r="S17" s="83"/>
    </row>
    <row r="18" spans="1:19" customHeight="1" ht="14.1" s="40" customFormat="1">
      <c r="C18" s="33" t="s">
        <v>26</v>
      </c>
      <c r="D18" s="33"/>
      <c r="E18" s="33"/>
      <c r="F18" s="21"/>
      <c r="G18" s="208" t="s">
        <v>27</v>
      </c>
      <c r="H18" s="295">
        <v>12142036.22</v>
      </c>
      <c r="I18" s="295">
        <v>5812723.1</v>
      </c>
      <c r="J18" s="295">
        <f>K18-I18</f>
        <v>7788628.9</v>
      </c>
      <c r="K18" s="295">
        <v>13601352</v>
      </c>
      <c r="L18" s="296">
        <v>13970856</v>
      </c>
      <c r="M18" s="95"/>
      <c r="N18" s="100"/>
      <c r="O18" s="100"/>
      <c r="P18" s="95"/>
      <c r="Q18" s="115"/>
      <c r="S18" s="81"/>
    </row>
    <row r="19" spans="1:19" customHeight="1" ht="14.1" s="40" customFormat="1">
      <c r="C19" s="33" t="s">
        <v>28</v>
      </c>
      <c r="D19" s="33"/>
      <c r="E19" s="33"/>
      <c r="F19" s="21"/>
      <c r="G19" s="208" t="s">
        <v>29</v>
      </c>
      <c r="H19" s="210">
        <v>888000</v>
      </c>
      <c r="I19" s="210">
        <v>454454.54</v>
      </c>
      <c r="J19" s="210">
        <f>K19-I19</f>
        <v>601545.46</v>
      </c>
      <c r="K19" s="211">
        <v>1056000</v>
      </c>
      <c r="L19" s="187">
        <v>1056000</v>
      </c>
      <c r="M19" s="95"/>
      <c r="N19" s="100"/>
      <c r="O19" s="100"/>
      <c r="P19" s="95"/>
      <c r="Q19" s="115"/>
      <c r="S19" s="81"/>
    </row>
    <row r="20" spans="1:19" customHeight="1" ht="14.1" s="40" customFormat="1">
      <c r="C20" s="33" t="s">
        <v>30</v>
      </c>
      <c r="D20" s="33"/>
      <c r="E20" s="33"/>
      <c r="F20" s="21"/>
      <c r="G20" s="208" t="s">
        <v>31</v>
      </c>
      <c r="H20" s="210">
        <v>108000</v>
      </c>
      <c r="I20" s="210">
        <v>54000</v>
      </c>
      <c r="J20" s="210">
        <f>K20-I20</f>
        <v>54000</v>
      </c>
      <c r="K20" s="211">
        <v>108000</v>
      </c>
      <c r="L20" s="187">
        <v>108000</v>
      </c>
      <c r="M20" s="95"/>
      <c r="N20" s="100"/>
      <c r="O20" s="100"/>
      <c r="P20" s="95"/>
      <c r="Q20" s="115"/>
      <c r="S20" s="81"/>
    </row>
    <row r="21" spans="1:19" customHeight="1" ht="14.1" s="40" customFormat="1">
      <c r="C21" s="33" t="s">
        <v>32</v>
      </c>
      <c r="D21" s="33"/>
      <c r="E21" s="33"/>
      <c r="F21" s="21"/>
      <c r="G21" s="208" t="s">
        <v>33</v>
      </c>
      <c r="H21" s="210">
        <v>108000</v>
      </c>
      <c r="I21" s="210">
        <v>54000</v>
      </c>
      <c r="J21" s="210">
        <f>K21-I21</f>
        <v>54000</v>
      </c>
      <c r="K21" s="211">
        <v>108000</v>
      </c>
      <c r="L21" s="187">
        <v>108000</v>
      </c>
      <c r="M21" s="95"/>
      <c r="N21" s="100"/>
      <c r="O21" s="100"/>
      <c r="P21" s="95"/>
      <c r="Q21" s="115"/>
      <c r="S21" s="81"/>
    </row>
    <row r="22" spans="1:19" customHeight="1" ht="14.1" s="40" customFormat="1">
      <c r="C22" s="33" t="s">
        <v>34</v>
      </c>
      <c r="D22" s="33"/>
      <c r="E22" s="33"/>
      <c r="F22" s="21"/>
      <c r="G22" s="208" t="s">
        <v>35</v>
      </c>
      <c r="H22" s="210">
        <v>198000</v>
      </c>
      <c r="I22" s="210">
        <v>204000</v>
      </c>
      <c r="J22" s="210">
        <f>K22-I22</f>
        <v>60000</v>
      </c>
      <c r="K22" s="211">
        <v>264000</v>
      </c>
      <c r="L22" s="187">
        <v>264000</v>
      </c>
      <c r="M22" s="95"/>
      <c r="N22" s="100"/>
      <c r="O22" s="100"/>
      <c r="P22" s="95"/>
      <c r="Q22" s="115"/>
      <c r="S22" s="81"/>
    </row>
    <row r="23" spans="1:19" customHeight="1" ht="14.1" s="40" customFormat="1">
      <c r="C23" s="33" t="s">
        <v>36</v>
      </c>
      <c r="D23" s="33"/>
      <c r="E23" s="33"/>
      <c r="F23" s="21"/>
      <c r="G23" s="208" t="s">
        <v>37</v>
      </c>
      <c r="H23" s="210">
        <v>1299185.86</v>
      </c>
      <c r="I23" s="210">
        <v>859065.43</v>
      </c>
      <c r="J23" s="210">
        <f>K23-I23</f>
        <v>240934.57</v>
      </c>
      <c r="K23" s="212">
        <v>1100000</v>
      </c>
      <c r="L23" s="188">
        <v>600000</v>
      </c>
      <c r="M23" s="95"/>
      <c r="N23" s="100"/>
      <c r="O23" s="100"/>
      <c r="P23" s="95"/>
      <c r="Q23" s="115"/>
      <c r="S23" s="81"/>
    </row>
    <row r="24" spans="1:19" customHeight="1" ht="14.1" s="40" customFormat="1">
      <c r="C24" s="33" t="s">
        <v>38</v>
      </c>
      <c r="D24" s="33"/>
      <c r="E24" s="33"/>
      <c r="F24" s="21"/>
      <c r="G24" s="208" t="s">
        <v>39</v>
      </c>
      <c r="H24" s="210">
        <v>872676.7</v>
      </c>
      <c r="I24" s="210">
        <v>0</v>
      </c>
      <c r="J24" s="210">
        <f>K24-I24</f>
        <v>1133446</v>
      </c>
      <c r="K24" s="211">
        <v>1133446</v>
      </c>
      <c r="L24" s="187">
        <v>1164238</v>
      </c>
      <c r="M24" s="95"/>
      <c r="N24" s="100"/>
      <c r="O24" s="100"/>
      <c r="P24" s="95"/>
      <c r="Q24" s="115"/>
      <c r="S24" s="81"/>
    </row>
    <row r="25" spans="1:19" customHeight="1" ht="14.1" s="40" customFormat="1">
      <c r="C25" s="33" t="s">
        <v>40</v>
      </c>
      <c r="D25" s="33"/>
      <c r="E25" s="33"/>
      <c r="F25" s="21"/>
      <c r="G25" s="208" t="s">
        <v>41</v>
      </c>
      <c r="H25" s="210">
        <v>185000</v>
      </c>
      <c r="I25" s="210">
        <v>0</v>
      </c>
      <c r="J25" s="210">
        <f>K25-I25</f>
        <v>220000</v>
      </c>
      <c r="K25" s="211">
        <v>220000</v>
      </c>
      <c r="L25" s="187">
        <v>220000</v>
      </c>
      <c r="M25" s="95"/>
      <c r="N25" s="100"/>
      <c r="O25" s="100"/>
      <c r="P25" s="95"/>
      <c r="Q25" s="115"/>
      <c r="S25" s="81"/>
    </row>
    <row r="26" spans="1:19" customHeight="1" ht="14.1" s="40" customFormat="1">
      <c r="C26" s="33" t="s">
        <v>42</v>
      </c>
      <c r="D26" s="33"/>
      <c r="E26" s="33"/>
      <c r="F26" s="47"/>
      <c r="G26" s="208" t="s">
        <v>43</v>
      </c>
      <c r="H26" s="210">
        <v>1149336</v>
      </c>
      <c r="I26" s="210">
        <v>888852</v>
      </c>
      <c r="J26" s="210">
        <f>K26-I26</f>
        <v>464594</v>
      </c>
      <c r="K26" s="211">
        <v>1353446</v>
      </c>
      <c r="L26" s="187">
        <f>SUM(F27:F28)</f>
        <v>1384238</v>
      </c>
      <c r="M26" s="95"/>
      <c r="N26" s="100"/>
      <c r="O26" s="100"/>
      <c r="P26" s="95"/>
      <c r="Q26" s="115"/>
      <c r="S26" s="81"/>
    </row>
    <row r="27" spans="1:19" customHeight="1" ht="14.1" s="2" customFormat="1">
      <c r="C27" s="34" t="s">
        <v>44</v>
      </c>
      <c r="D27" s="33"/>
      <c r="E27" s="9"/>
      <c r="F27" s="171">
        <f>L24</f>
        <v>1164238</v>
      </c>
      <c r="G27" s="213"/>
      <c r="H27" s="214"/>
      <c r="I27" s="214"/>
      <c r="J27" s="214"/>
      <c r="K27" s="215"/>
      <c r="L27" s="189"/>
      <c r="M27" s="95"/>
      <c r="N27" s="101"/>
      <c r="O27" s="101"/>
      <c r="P27" s="95"/>
      <c r="Q27" s="116"/>
      <c r="S27" s="81"/>
    </row>
    <row r="28" spans="1:19" customHeight="1" ht="14.1" s="2" customFormat="1">
      <c r="C28" s="34" t="s">
        <v>45</v>
      </c>
      <c r="D28" s="33"/>
      <c r="E28" s="9"/>
      <c r="F28" s="172">
        <f>L25</f>
        <v>220000</v>
      </c>
      <c r="G28" s="213"/>
      <c r="H28" s="214"/>
      <c r="I28" s="214"/>
      <c r="J28" s="214"/>
      <c r="K28" s="216"/>
      <c r="L28" s="190"/>
      <c r="M28" s="95"/>
      <c r="N28" s="101"/>
      <c r="O28" s="101"/>
      <c r="P28" s="95"/>
      <c r="Q28" s="116"/>
      <c r="S28" s="81"/>
    </row>
    <row r="29" spans="1:19" customHeight="1" ht="14.1" s="40" customFormat="1">
      <c r="C29" s="33" t="s">
        <v>46</v>
      </c>
      <c r="D29" s="33"/>
      <c r="E29" s="33"/>
      <c r="F29" s="21"/>
      <c r="G29" s="208" t="s">
        <v>47</v>
      </c>
      <c r="H29" s="210">
        <v>1456504.29</v>
      </c>
      <c r="I29" s="210">
        <v>698717.05</v>
      </c>
      <c r="J29" s="210">
        <f>K29-I29</f>
        <v>933445.19</v>
      </c>
      <c r="K29" s="211">
        <v>1632162.24</v>
      </c>
      <c r="L29" s="187">
        <v>1676502.72</v>
      </c>
      <c r="M29" s="95"/>
      <c r="N29" s="100"/>
      <c r="O29" s="100"/>
      <c r="P29" s="95"/>
      <c r="Q29" s="115"/>
      <c r="S29" s="81"/>
    </row>
    <row r="30" spans="1:19" customHeight="1" ht="14.1" s="40" customFormat="1">
      <c r="C30" s="33" t="s">
        <v>48</v>
      </c>
      <c r="D30" s="33"/>
      <c r="E30" s="33"/>
      <c r="F30" s="21"/>
      <c r="G30" s="208" t="s">
        <v>49</v>
      </c>
      <c r="H30" s="210">
        <v>44400</v>
      </c>
      <c r="I30" s="210">
        <v>22500</v>
      </c>
      <c r="J30" s="210">
        <f>K30-I30</f>
        <v>30300</v>
      </c>
      <c r="K30" s="211">
        <v>52800</v>
      </c>
      <c r="L30" s="187">
        <v>52800</v>
      </c>
      <c r="M30" s="95"/>
      <c r="N30" s="100"/>
      <c r="O30" s="100"/>
      <c r="P30" s="95"/>
      <c r="Q30" s="115"/>
      <c r="S30" s="81"/>
    </row>
    <row r="31" spans="1:19" customHeight="1" ht="14.1" s="40" customFormat="1">
      <c r="C31" s="33" t="s">
        <v>50</v>
      </c>
      <c r="D31" s="33"/>
      <c r="E31" s="33"/>
      <c r="F31" s="21"/>
      <c r="G31" s="208" t="s">
        <v>51</v>
      </c>
      <c r="H31" s="210">
        <v>158890.61</v>
      </c>
      <c r="I31" s="210">
        <v>76494.46</v>
      </c>
      <c r="J31" s="210">
        <f>K31-I31</f>
        <v>174622.34</v>
      </c>
      <c r="K31" s="211">
        <v>251116.8</v>
      </c>
      <c r="L31" s="187">
        <v>292668.93</v>
      </c>
      <c r="M31" s="95"/>
      <c r="N31" s="100"/>
      <c r="O31" s="100"/>
      <c r="P31" s="95"/>
      <c r="Q31" s="115"/>
      <c r="S31" s="81"/>
    </row>
    <row r="32" spans="1:19" customHeight="1" ht="14.1" s="40" customFormat="1">
      <c r="C32" s="33" t="s">
        <v>52</v>
      </c>
      <c r="D32" s="33"/>
      <c r="E32" s="33"/>
      <c r="F32" s="21"/>
      <c r="G32" s="208" t="s">
        <v>53</v>
      </c>
      <c r="H32" s="210">
        <v>44399.55</v>
      </c>
      <c r="I32" s="210">
        <v>22860.92</v>
      </c>
      <c r="J32" s="210">
        <f>K32-I32</f>
        <v>29939.08</v>
      </c>
      <c r="K32" s="211">
        <v>52800</v>
      </c>
      <c r="L32" s="187">
        <v>52800</v>
      </c>
      <c r="M32" s="95"/>
      <c r="N32" s="100"/>
      <c r="O32" s="100"/>
      <c r="P32" s="95"/>
      <c r="Q32" s="115"/>
      <c r="S32" s="81"/>
    </row>
    <row r="33" spans="1:19" customHeight="1" ht="14.1" s="40" customFormat="1">
      <c r="C33" s="33" t="s">
        <v>54</v>
      </c>
      <c r="D33" s="33"/>
      <c r="E33" s="33"/>
      <c r="F33" s="21"/>
      <c r="G33" s="208" t="s">
        <v>55</v>
      </c>
      <c r="H33" s="210">
        <f>14786585.72+3912660.92</f>
        <v>18699246.64</v>
      </c>
      <c r="I33" s="210">
        <f>17025050.24+3397531.92</f>
        <v>20422582.16</v>
      </c>
      <c r="J33" s="210">
        <f>K33-I33</f>
        <v>31577417.84</v>
      </c>
      <c r="K33" s="211">
        <f>35000000+17000000</f>
        <v>52000000</v>
      </c>
      <c r="L33" s="187">
        <f>F34+F35</f>
        <v>19084451.2</v>
      </c>
      <c r="M33" s="95"/>
      <c r="N33" s="100"/>
      <c r="O33" s="100"/>
      <c r="P33" s="95"/>
      <c r="Q33" s="115"/>
      <c r="S33" s="81"/>
    </row>
    <row r="34" spans="1:19" customHeight="1" ht="14.1" s="40" customFormat="1">
      <c r="C34" s="57" t="s">
        <v>56</v>
      </c>
      <c r="D34" s="33"/>
      <c r="E34" s="33"/>
      <c r="F34" s="55">
        <f>(15000000+10000)-(775548.8+150000)</f>
        <v>14084451.2</v>
      </c>
      <c r="G34" s="208"/>
      <c r="H34" s="210"/>
      <c r="I34" s="210"/>
      <c r="J34" s="210"/>
      <c r="K34" s="211"/>
      <c r="L34" s="187"/>
      <c r="M34" s="95"/>
      <c r="N34" s="100"/>
      <c r="O34" s="100"/>
      <c r="P34" s="95"/>
      <c r="Q34" s="115"/>
      <c r="S34" s="81"/>
    </row>
    <row r="35" spans="1:19" customHeight="1" ht="14.1" s="40" customFormat="1">
      <c r="C35" s="57" t="s">
        <v>57</v>
      </c>
      <c r="D35" s="33"/>
      <c r="E35" s="33"/>
      <c r="F35" s="56">
        <v>5000000</v>
      </c>
      <c r="G35" s="208"/>
      <c r="H35" s="210"/>
      <c r="I35" s="210"/>
      <c r="J35" s="210"/>
      <c r="K35" s="212"/>
      <c r="L35" s="188"/>
      <c r="M35" s="95"/>
      <c r="N35" s="100"/>
      <c r="O35" s="100"/>
      <c r="P35" s="95"/>
      <c r="Q35" s="115"/>
      <c r="S35" s="81"/>
    </row>
    <row r="36" spans="1:19" customHeight="1" ht="14.1" s="40" customFormat="1">
      <c r="C36" s="33" t="s">
        <v>58</v>
      </c>
      <c r="D36" s="33"/>
      <c r="E36" s="33"/>
      <c r="F36" s="21"/>
      <c r="G36" s="208" t="s">
        <v>59</v>
      </c>
      <c r="H36" s="210">
        <f>1031250+728000+6870772.13</f>
        <v>8630022.13</v>
      </c>
      <c r="I36" s="210">
        <v>342500</v>
      </c>
      <c r="J36" s="210">
        <f>K36-I36</f>
        <v>3657500</v>
      </c>
      <c r="K36" s="211">
        <v>4000000</v>
      </c>
      <c r="L36" s="187">
        <v>4000000</v>
      </c>
      <c r="M36" s="95"/>
      <c r="N36" s="100"/>
      <c r="O36" s="100"/>
      <c r="P36" s="95"/>
      <c r="Q36" s="115"/>
      <c r="S36" s="81"/>
    </row>
    <row r="37" spans="1:19" customHeight="1" ht="24.75" s="40" customFormat="1">
      <c r="C37" s="1490" t="s">
        <v>60</v>
      </c>
      <c r="D37" s="1490"/>
      <c r="E37" s="1490"/>
      <c r="F37" s="56">
        <v>4000000</v>
      </c>
      <c r="G37" s="208"/>
      <c r="H37" s="217">
        <v>0</v>
      </c>
      <c r="I37" s="217">
        <v>0</v>
      </c>
      <c r="J37" s="217">
        <v>0</v>
      </c>
      <c r="K37" s="218">
        <v>0</v>
      </c>
      <c r="L37" s="191">
        <v>0</v>
      </c>
      <c r="M37" s="95"/>
      <c r="N37" s="100"/>
      <c r="O37" s="100"/>
      <c r="P37" s="95"/>
      <c r="Q37" s="115"/>
      <c r="S37" s="81"/>
    </row>
    <row r="38" spans="1:19" customHeight="1" ht="15" s="19" customFormat="1">
      <c r="A38" s="263" t="s">
        <v>61</v>
      </c>
      <c r="B38" s="263"/>
      <c r="C38" s="263"/>
      <c r="D38" s="263"/>
      <c r="E38" s="263"/>
      <c r="F38" s="263"/>
      <c r="G38" s="264"/>
      <c r="H38" s="297">
        <f>SUM(H18:H37)</f>
        <v>45983698</v>
      </c>
      <c r="I38" s="297">
        <f>SUM(I18:I37)</f>
        <v>29912749.66</v>
      </c>
      <c r="J38" s="297">
        <f>SUM(J18:J37)</f>
        <v>47020373.38</v>
      </c>
      <c r="K38" s="297">
        <f>SUM(K18:K37)</f>
        <v>76933123.04</v>
      </c>
      <c r="L38" s="298">
        <f>SUM(L18:L37)</f>
        <v>44034554.85</v>
      </c>
      <c r="M38" s="95">
        <f>SUM(L18:L32)</f>
        <v>20950103.65</v>
      </c>
      <c r="N38" s="131"/>
      <c r="O38" s="102"/>
      <c r="P38" s="96"/>
      <c r="Q38" s="117"/>
      <c r="S38" s="84"/>
    </row>
    <row r="39" spans="1:19" customHeight="1" ht="15" s="19" customFormat="1">
      <c r="A39" s="18"/>
      <c r="B39" s="18"/>
      <c r="C39" s="18"/>
      <c r="D39" s="18"/>
      <c r="E39" s="18"/>
      <c r="F39" s="18"/>
      <c r="G39" s="219"/>
      <c r="H39" s="220"/>
      <c r="I39" s="220"/>
      <c r="J39" s="220"/>
      <c r="K39" s="220"/>
      <c r="L39" s="69"/>
      <c r="M39" s="95"/>
      <c r="N39" s="131"/>
      <c r="O39" s="102"/>
      <c r="P39" s="96"/>
      <c r="Q39" s="117"/>
      <c r="S39" s="84"/>
    </row>
    <row r="40" spans="1:19" customHeight="1" ht="15.95" s="1" customFormat="1">
      <c r="A40" s="59" t="s">
        <v>62</v>
      </c>
      <c r="B40" s="59"/>
      <c r="C40" s="14"/>
      <c r="D40" s="14"/>
      <c r="E40" s="14"/>
      <c r="F40" s="14"/>
      <c r="G40" s="221"/>
      <c r="H40" s="221"/>
      <c r="I40" s="221"/>
      <c r="J40" s="221"/>
      <c r="K40" s="222"/>
      <c r="M40" s="97"/>
      <c r="N40" s="103"/>
      <c r="O40" s="103"/>
      <c r="P40" s="97"/>
      <c r="Q40" s="118"/>
      <c r="S40" s="85"/>
    </row>
    <row r="41" spans="1:19" customHeight="1" ht="15.95" s="40" customFormat="1">
      <c r="C41" s="33" t="s">
        <v>63</v>
      </c>
      <c r="D41" s="33"/>
      <c r="E41" s="33"/>
      <c r="F41" s="21"/>
      <c r="G41" s="223" t="s">
        <v>64</v>
      </c>
      <c r="H41" s="295">
        <v>1380805.99</v>
      </c>
      <c r="I41" s="295">
        <f>1126050.33+90510+54333.32</f>
        <v>1270893.65</v>
      </c>
      <c r="J41" s="295">
        <f>K41-I41</f>
        <v>3244906.35</v>
      </c>
      <c r="K41" s="295">
        <v>4515800</v>
      </c>
      <c r="L41" s="296">
        <f>SUM(F42:F48)</f>
        <v>4440000</v>
      </c>
      <c r="M41" s="95"/>
      <c r="N41" s="104"/>
      <c r="O41" s="104"/>
      <c r="P41" s="95"/>
      <c r="Q41" s="115"/>
      <c r="S41" s="81"/>
    </row>
    <row r="42" spans="1:19" customHeight="1" ht="15.95" s="40" customFormat="1">
      <c r="C42" s="57" t="s">
        <v>65</v>
      </c>
      <c r="D42" s="33"/>
      <c r="E42" s="33"/>
      <c r="F42" s="55">
        <v>4000000</v>
      </c>
      <c r="G42" s="223"/>
      <c r="H42" s="209"/>
      <c r="I42" s="209"/>
      <c r="J42" s="209"/>
      <c r="K42" s="209"/>
      <c r="L42" s="71"/>
      <c r="M42" s="95"/>
      <c r="N42" s="104"/>
      <c r="O42" s="104"/>
      <c r="P42" s="95"/>
      <c r="Q42" s="115"/>
      <c r="S42" s="81"/>
    </row>
    <row r="43" spans="1:19" customHeight="1" ht="15.95" s="40" customFormat="1">
      <c r="C43" s="57" t="s">
        <v>66</v>
      </c>
      <c r="D43" s="33"/>
      <c r="E43" s="33"/>
      <c r="F43" s="55">
        <v>100000</v>
      </c>
      <c r="G43" s="223"/>
      <c r="H43" s="209"/>
      <c r="I43" s="209"/>
      <c r="J43" s="209"/>
      <c r="K43" s="209"/>
      <c r="L43" s="71"/>
      <c r="M43" s="95"/>
      <c r="N43" s="104"/>
      <c r="O43" s="104"/>
      <c r="P43" s="95"/>
      <c r="Q43" s="115"/>
      <c r="S43" s="81"/>
    </row>
    <row r="44" spans="1:19" customHeight="1" ht="15.95" s="40" customFormat="1">
      <c r="C44" s="57" t="s">
        <v>67</v>
      </c>
      <c r="D44" s="33"/>
      <c r="E44" s="33"/>
      <c r="F44" s="55">
        <v>50000</v>
      </c>
      <c r="G44" s="223"/>
      <c r="H44" s="209"/>
      <c r="I44" s="209"/>
      <c r="J44" s="209"/>
      <c r="K44" s="209"/>
      <c r="L44" s="71"/>
      <c r="M44" s="95"/>
      <c r="N44" s="104"/>
      <c r="O44" s="104"/>
      <c r="P44" s="95"/>
      <c r="Q44" s="115"/>
      <c r="S44" s="81"/>
    </row>
    <row r="45" spans="1:19" customHeight="1" ht="15.95" s="40" customFormat="1">
      <c r="C45" s="57" t="s">
        <v>68</v>
      </c>
      <c r="D45" s="33"/>
      <c r="E45" s="33"/>
      <c r="F45" s="55">
        <v>100000</v>
      </c>
      <c r="G45" s="223"/>
      <c r="H45" s="209"/>
      <c r="I45" s="209"/>
      <c r="J45" s="209"/>
      <c r="K45" s="209"/>
      <c r="L45" s="71"/>
      <c r="M45" s="95"/>
      <c r="N45" s="104"/>
      <c r="O45" s="104"/>
      <c r="P45" s="95"/>
      <c r="Q45" s="115"/>
      <c r="S45" s="81"/>
    </row>
    <row r="46" spans="1:19" customHeight="1" ht="15.95" s="40" customFormat="1">
      <c r="C46" s="57" t="s">
        <v>69</v>
      </c>
      <c r="D46" s="33"/>
      <c r="E46" s="33"/>
      <c r="F46" s="55">
        <v>50000</v>
      </c>
      <c r="G46" s="223"/>
      <c r="H46" s="209"/>
      <c r="I46" s="209"/>
      <c r="J46" s="209"/>
      <c r="K46" s="209"/>
      <c r="L46" s="71"/>
      <c r="M46" s="95"/>
      <c r="N46" s="104"/>
      <c r="O46" s="104"/>
      <c r="P46" s="95"/>
      <c r="Q46" s="115"/>
      <c r="S46" s="81"/>
    </row>
    <row r="47" spans="1:19" customHeight="1" ht="15.95" s="40" customFormat="1">
      <c r="C47" s="57" t="s">
        <v>70</v>
      </c>
      <c r="D47" s="33"/>
      <c r="E47" s="33"/>
      <c r="F47" s="55">
        <v>100000</v>
      </c>
      <c r="G47" s="223"/>
      <c r="H47" s="209"/>
      <c r="I47" s="209"/>
      <c r="J47" s="209"/>
      <c r="K47" s="209"/>
      <c r="L47" s="71"/>
      <c r="M47" s="95"/>
      <c r="N47" s="104"/>
      <c r="O47" s="104"/>
      <c r="P47" s="95"/>
      <c r="Q47" s="115"/>
      <c r="S47" s="81"/>
    </row>
    <row r="48" spans="1:19" customHeight="1" ht="15.95" s="40" customFormat="1">
      <c r="C48" s="57" t="s">
        <v>71</v>
      </c>
      <c r="D48" s="33"/>
      <c r="E48" s="33"/>
      <c r="F48" s="56">
        <v>40000</v>
      </c>
      <c r="G48" s="223"/>
      <c r="H48" s="209"/>
      <c r="I48" s="209"/>
      <c r="J48" s="209"/>
      <c r="K48" s="209"/>
      <c r="L48" s="71"/>
      <c r="M48" s="95"/>
      <c r="N48" s="104"/>
      <c r="O48" s="104"/>
      <c r="P48" s="95"/>
      <c r="Q48" s="115"/>
      <c r="S48" s="81"/>
    </row>
    <row r="49" spans="1:19" customHeight="1" ht="15.95" s="40" customFormat="1">
      <c r="C49" s="33" t="s">
        <v>72</v>
      </c>
      <c r="D49" s="33"/>
      <c r="E49" s="33"/>
      <c r="F49" s="48"/>
      <c r="G49" s="223" t="s">
        <v>73</v>
      </c>
      <c r="H49" s="210">
        <v>464100</v>
      </c>
      <c r="I49" s="210">
        <f>2000</f>
        <v>2000</v>
      </c>
      <c r="J49" s="210">
        <f>K49-I49</f>
        <v>3341500</v>
      </c>
      <c r="K49" s="224">
        <v>3343500</v>
      </c>
      <c r="L49" s="51">
        <f>SUM(F50:F56)</f>
        <v>3900000</v>
      </c>
      <c r="M49" s="95"/>
      <c r="N49" s="104"/>
      <c r="O49" s="104"/>
      <c r="P49" s="95"/>
      <c r="Q49" s="115"/>
      <c r="S49" s="81"/>
    </row>
    <row r="50" spans="1:19" customHeight="1" ht="15.95" s="40" customFormat="1">
      <c r="C50" s="57" t="s">
        <v>65</v>
      </c>
      <c r="D50" s="33"/>
      <c r="E50" s="33"/>
      <c r="F50" s="55">
        <v>2000000</v>
      </c>
      <c r="G50" s="223"/>
      <c r="H50" s="210"/>
      <c r="I50" s="210"/>
      <c r="J50" s="210"/>
      <c r="K50" s="224"/>
      <c r="L50" s="51"/>
      <c r="M50" s="95"/>
      <c r="N50" s="104"/>
      <c r="O50" s="104"/>
      <c r="P50" s="95"/>
      <c r="Q50" s="115"/>
      <c r="S50" s="81"/>
    </row>
    <row r="51" spans="1:19" customHeight="1" ht="15.95" s="2" customFormat="1">
      <c r="C51" s="57" t="s">
        <v>74</v>
      </c>
      <c r="D51" s="28"/>
      <c r="E51" s="9"/>
      <c r="F51" s="55">
        <v>1500000</v>
      </c>
      <c r="G51" s="223"/>
      <c r="H51" s="210"/>
      <c r="I51" s="210"/>
      <c r="J51" s="210"/>
      <c r="K51" s="224"/>
      <c r="L51" s="51"/>
      <c r="M51" s="95"/>
      <c r="N51" s="104"/>
      <c r="O51" s="104"/>
      <c r="P51" s="95"/>
      <c r="Q51" s="116"/>
      <c r="S51" s="81"/>
    </row>
    <row r="52" spans="1:19" customHeight="1" ht="15.95" s="40" customFormat="1">
      <c r="C52" s="57" t="s">
        <v>66</v>
      </c>
      <c r="D52" s="33"/>
      <c r="E52" s="33"/>
      <c r="F52" s="55">
        <v>100000</v>
      </c>
      <c r="G52" s="223"/>
      <c r="H52" s="209"/>
      <c r="I52" s="209"/>
      <c r="J52" s="209"/>
      <c r="K52" s="209"/>
      <c r="L52" s="71"/>
      <c r="M52" s="95"/>
      <c r="N52" s="104"/>
      <c r="O52" s="104"/>
      <c r="P52" s="95"/>
      <c r="Q52" s="115"/>
      <c r="S52" s="81"/>
    </row>
    <row r="53" spans="1:19" customHeight="1" ht="15.95" s="40" customFormat="1">
      <c r="C53" s="57" t="s">
        <v>67</v>
      </c>
      <c r="D53" s="33"/>
      <c r="E53" s="33"/>
      <c r="F53" s="55">
        <v>50000</v>
      </c>
      <c r="G53" s="223"/>
      <c r="H53" s="209"/>
      <c r="I53" s="209"/>
      <c r="J53" s="209"/>
      <c r="K53" s="209"/>
      <c r="L53" s="71"/>
      <c r="M53" s="95"/>
      <c r="N53" s="104"/>
      <c r="O53" s="104"/>
      <c r="P53" s="95"/>
      <c r="Q53" s="115"/>
      <c r="S53" s="81"/>
    </row>
    <row r="54" spans="1:19" customHeight="1" ht="15.95" s="40" customFormat="1">
      <c r="C54" s="57" t="s">
        <v>69</v>
      </c>
      <c r="D54" s="33"/>
      <c r="E54" s="33"/>
      <c r="F54" s="55">
        <v>50000</v>
      </c>
      <c r="G54" s="223"/>
      <c r="H54" s="209"/>
      <c r="I54" s="209"/>
      <c r="J54" s="209"/>
      <c r="K54" s="209"/>
      <c r="L54" s="71"/>
      <c r="M54" s="95"/>
      <c r="N54" s="104"/>
      <c r="O54" s="104"/>
      <c r="P54" s="95"/>
      <c r="Q54" s="115"/>
      <c r="S54" s="81"/>
    </row>
    <row r="55" spans="1:19" customHeight="1" ht="15.95" s="40" customFormat="1">
      <c r="C55" s="57" t="s">
        <v>70</v>
      </c>
      <c r="D55" s="33"/>
      <c r="E55" s="33"/>
      <c r="F55" s="55">
        <v>100000</v>
      </c>
      <c r="G55" s="223"/>
      <c r="H55" s="209"/>
      <c r="I55" s="209"/>
      <c r="J55" s="209"/>
      <c r="K55" s="209"/>
      <c r="L55" s="71"/>
      <c r="M55" s="95"/>
      <c r="N55" s="104"/>
      <c r="O55" s="104"/>
      <c r="P55" s="95"/>
      <c r="Q55" s="115"/>
      <c r="S55" s="81"/>
    </row>
    <row r="56" spans="1:19" customHeight="1" ht="15.95" s="40" customFormat="1">
      <c r="C56" s="57" t="s">
        <v>71</v>
      </c>
      <c r="D56" s="33"/>
      <c r="E56" s="33"/>
      <c r="F56" s="56">
        <v>100000</v>
      </c>
      <c r="G56" s="223"/>
      <c r="H56" s="284">
        <v>0</v>
      </c>
      <c r="I56" s="284">
        <v>0</v>
      </c>
      <c r="J56" s="284">
        <v>0</v>
      </c>
      <c r="K56" s="284">
        <v>0</v>
      </c>
      <c r="L56" s="285">
        <v>0</v>
      </c>
      <c r="M56" s="95"/>
      <c r="N56" s="104"/>
      <c r="O56" s="104"/>
      <c r="P56" s="95"/>
      <c r="Q56" s="115"/>
      <c r="S56" s="81"/>
    </row>
    <row r="57" spans="1:19" customHeight="1" ht="15" s="40" customFormat="1">
      <c r="A57" s="18" t="s">
        <v>75</v>
      </c>
      <c r="C57" s="57"/>
      <c r="D57" s="33"/>
      <c r="E57" s="33"/>
      <c r="F57" s="56"/>
      <c r="G57" s="223"/>
      <c r="H57" s="299">
        <f>SUM(H41:H56)</f>
        <v>1844905.99</v>
      </c>
      <c r="I57" s="299">
        <f>SUM(I41:I56)</f>
        <v>1272893.65</v>
      </c>
      <c r="J57" s="299">
        <f>SUM(J41:J56)</f>
        <v>6586406.35</v>
      </c>
      <c r="K57" s="299">
        <f>SUM(K41:K56)</f>
        <v>7859300</v>
      </c>
      <c r="L57" s="300">
        <f>SUM(L41:L56)</f>
        <v>8340000</v>
      </c>
      <c r="M57" s="95"/>
      <c r="N57" s="104"/>
      <c r="O57" s="104"/>
      <c r="P57" s="95"/>
      <c r="Q57" s="115"/>
      <c r="S57" s="81"/>
    </row>
    <row r="58" spans="1:19" customHeight="1" ht="15.95" s="40" customFormat="1">
      <c r="C58" s="57"/>
      <c r="D58" s="33"/>
      <c r="E58" s="33"/>
      <c r="F58" s="56"/>
      <c r="G58" s="223"/>
      <c r="H58" s="209"/>
      <c r="I58" s="209"/>
      <c r="J58" s="209"/>
      <c r="K58" s="209"/>
      <c r="L58" s="71"/>
      <c r="M58" s="95"/>
      <c r="N58" s="104"/>
      <c r="O58" s="104"/>
      <c r="P58" s="95"/>
      <c r="Q58" s="115"/>
      <c r="S58" s="81"/>
    </row>
    <row r="59" spans="1:19" customHeight="1" ht="15.95" s="40" customFormat="1">
      <c r="A59" s="161"/>
      <c r="B59" s="161"/>
      <c r="C59" s="162"/>
      <c r="D59" s="163"/>
      <c r="E59" s="163"/>
      <c r="F59" s="164"/>
      <c r="G59" s="227"/>
      <c r="H59" s="228"/>
      <c r="I59" s="228"/>
      <c r="J59" s="228"/>
      <c r="K59" s="228"/>
      <c r="L59" s="165"/>
      <c r="M59" s="95"/>
      <c r="N59" s="104"/>
      <c r="O59" s="104"/>
      <c r="P59" s="95"/>
      <c r="Q59" s="115"/>
      <c r="S59" s="81"/>
    </row>
    <row r="60" spans="1:19" customHeight="1" ht="15" s="22" customFormat="1">
      <c r="A60" s="59" t="s">
        <v>62</v>
      </c>
      <c r="B60" s="21"/>
      <c r="C60" s="21"/>
      <c r="D60" s="21"/>
      <c r="E60" s="21"/>
      <c r="F60" s="21"/>
      <c r="G60" s="181"/>
      <c r="H60" s="181"/>
      <c r="I60" s="181"/>
      <c r="J60" s="181"/>
      <c r="K60" s="181"/>
      <c r="L60" s="193"/>
      <c r="M60" s="93"/>
      <c r="N60" s="33"/>
      <c r="O60" s="33"/>
      <c r="P60" s="93"/>
      <c r="Q60" s="113"/>
      <c r="S60" s="82"/>
    </row>
    <row r="61" spans="1:19" customHeight="1" ht="15" s="40" customFormat="1">
      <c r="C61" s="33" t="s">
        <v>76</v>
      </c>
      <c r="D61" s="33"/>
      <c r="E61" s="33"/>
      <c r="F61" s="21"/>
      <c r="G61" s="223" t="s">
        <v>77</v>
      </c>
      <c r="H61" s="295">
        <v>1165584</v>
      </c>
      <c r="I61" s="295">
        <f>373874+43675+31995+99970+41312+29472</f>
        <v>620298</v>
      </c>
      <c r="J61" s="295">
        <f>K61-I61</f>
        <v>3359702</v>
      </c>
      <c r="K61" s="295">
        <v>3980000</v>
      </c>
      <c r="L61" s="296">
        <f>SUM(F62:F68)</f>
        <v>4080000</v>
      </c>
      <c r="M61" s="95"/>
      <c r="N61" s="104"/>
      <c r="O61" s="104"/>
      <c r="P61" s="95"/>
      <c r="Q61" s="115"/>
      <c r="S61" s="81"/>
    </row>
    <row r="62" spans="1:19" customHeight="1" ht="15" s="40" customFormat="1">
      <c r="C62" s="57" t="s">
        <v>65</v>
      </c>
      <c r="D62" s="33"/>
      <c r="E62" s="33"/>
      <c r="F62" s="55">
        <v>3000000</v>
      </c>
      <c r="G62" s="223"/>
      <c r="H62" s="209"/>
      <c r="I62" s="209"/>
      <c r="J62" s="209"/>
      <c r="K62" s="209"/>
      <c r="L62" s="71"/>
      <c r="M62" s="95"/>
      <c r="N62" s="104"/>
      <c r="O62" s="104"/>
      <c r="P62" s="95"/>
      <c r="Q62" s="115"/>
      <c r="S62" s="81"/>
    </row>
    <row r="63" spans="1:19" customHeight="1" ht="15" s="40" customFormat="1">
      <c r="C63" s="57" t="s">
        <v>67</v>
      </c>
      <c r="D63" s="33"/>
      <c r="E63" s="33"/>
      <c r="F63" s="55">
        <v>300000</v>
      </c>
      <c r="G63" s="223"/>
      <c r="H63" s="209"/>
      <c r="I63" s="209"/>
      <c r="J63" s="209"/>
      <c r="K63" s="209"/>
      <c r="L63" s="71"/>
      <c r="M63" s="95"/>
      <c r="N63" s="104"/>
      <c r="O63" s="104"/>
      <c r="P63" s="95"/>
      <c r="Q63" s="115"/>
      <c r="S63" s="81"/>
    </row>
    <row r="64" spans="1:19" customHeight="1" ht="15" s="40" customFormat="1">
      <c r="C64" s="57" t="s">
        <v>78</v>
      </c>
      <c r="D64" s="33"/>
      <c r="E64" s="33"/>
      <c r="F64" s="55">
        <v>80000</v>
      </c>
      <c r="G64" s="223"/>
      <c r="H64" s="209"/>
      <c r="I64" s="209"/>
      <c r="J64" s="209"/>
      <c r="K64" s="209"/>
      <c r="L64" s="71"/>
      <c r="M64" s="95"/>
      <c r="N64" s="104"/>
      <c r="O64" s="104"/>
      <c r="P64" s="95"/>
      <c r="Q64" s="115"/>
      <c r="S64" s="81"/>
    </row>
    <row r="65" spans="1:19" customHeight="1" ht="15" s="40" customFormat="1">
      <c r="C65" s="57" t="s">
        <v>68</v>
      </c>
      <c r="D65" s="33"/>
      <c r="E65" s="33"/>
      <c r="F65" s="55">
        <v>300000</v>
      </c>
      <c r="G65" s="223"/>
      <c r="H65" s="209"/>
      <c r="I65" s="209"/>
      <c r="J65" s="209"/>
      <c r="K65" s="209"/>
      <c r="L65" s="71"/>
      <c r="M65" s="95"/>
      <c r="N65" s="104"/>
      <c r="O65" s="104"/>
      <c r="P65" s="95"/>
      <c r="Q65" s="115"/>
      <c r="S65" s="81"/>
    </row>
    <row r="66" spans="1:19" customHeight="1" ht="15" s="40" customFormat="1">
      <c r="C66" s="57" t="s">
        <v>69</v>
      </c>
      <c r="D66" s="33"/>
      <c r="E66" s="33"/>
      <c r="F66" s="55">
        <v>250000</v>
      </c>
      <c r="G66" s="223"/>
      <c r="H66" s="209"/>
      <c r="I66" s="209"/>
      <c r="J66" s="209"/>
      <c r="K66" s="209"/>
      <c r="L66" s="71"/>
      <c r="M66" s="95"/>
      <c r="N66" s="104"/>
      <c r="O66" s="104"/>
      <c r="P66" s="95"/>
      <c r="Q66" s="115"/>
      <c r="S66" s="81"/>
    </row>
    <row r="67" spans="1:19" customHeight="1" ht="15" s="40" customFormat="1">
      <c r="C67" s="57" t="s">
        <v>70</v>
      </c>
      <c r="D67" s="33"/>
      <c r="E67" s="33"/>
      <c r="F67" s="55">
        <v>100000</v>
      </c>
      <c r="G67" s="223"/>
      <c r="H67" s="209"/>
      <c r="I67" s="209"/>
      <c r="J67" s="209"/>
      <c r="K67" s="209"/>
      <c r="L67" s="71"/>
      <c r="M67" s="95"/>
      <c r="N67" s="104"/>
      <c r="O67" s="104"/>
      <c r="P67" s="95"/>
      <c r="Q67" s="115"/>
      <c r="S67" s="81"/>
    </row>
    <row r="68" spans="1:19" customHeight="1" ht="15" s="40" customFormat="1">
      <c r="C68" s="57" t="s">
        <v>71</v>
      </c>
      <c r="D68" s="33"/>
      <c r="E68" s="33"/>
      <c r="F68" s="56">
        <v>50000</v>
      </c>
      <c r="G68" s="223"/>
      <c r="H68" s="225"/>
      <c r="I68" s="225"/>
      <c r="J68" s="225"/>
      <c r="K68" s="225"/>
      <c r="L68" s="192"/>
      <c r="M68" s="95"/>
      <c r="N68" s="104"/>
      <c r="O68" s="104"/>
      <c r="P68" s="95"/>
      <c r="Q68" s="115"/>
      <c r="S68" s="81"/>
    </row>
    <row r="69" spans="1:19" customHeight="1" ht="15" s="40" customFormat="1">
      <c r="C69" s="33" t="s">
        <v>79</v>
      </c>
      <c r="D69" s="33"/>
      <c r="E69" s="33"/>
      <c r="F69" s="21"/>
      <c r="G69" s="223" t="s">
        <v>80</v>
      </c>
      <c r="H69" s="210">
        <v>5984950.69</v>
      </c>
      <c r="I69" s="210">
        <f>5643290.5+49955.37</f>
        <v>5693245.87</v>
      </c>
      <c r="J69" s="210">
        <f>K69-I69</f>
        <v>4966754.13</v>
      </c>
      <c r="K69" s="224">
        <v>10660000</v>
      </c>
      <c r="L69" s="51">
        <f>SUM(F70:F76)</f>
        <v>6870000</v>
      </c>
      <c r="M69" s="95"/>
      <c r="N69" s="104"/>
      <c r="O69" s="104"/>
      <c r="P69" s="95"/>
      <c r="Q69" s="115"/>
      <c r="S69" s="81"/>
    </row>
    <row r="70" spans="1:19" customHeight="1" ht="15" s="40" customFormat="1">
      <c r="C70" s="57" t="s">
        <v>65</v>
      </c>
      <c r="D70" s="33"/>
      <c r="E70" s="33"/>
      <c r="F70" s="55">
        <v>6000000</v>
      </c>
      <c r="G70" s="223"/>
      <c r="H70" s="209"/>
      <c r="I70" s="209"/>
      <c r="J70" s="209"/>
      <c r="K70" s="209"/>
      <c r="L70" s="71"/>
      <c r="M70" s="95"/>
      <c r="N70" s="104"/>
      <c r="O70" s="104"/>
      <c r="P70" s="95"/>
      <c r="Q70" s="115"/>
      <c r="S70" s="81"/>
    </row>
    <row r="71" spans="1:19" customHeight="1" ht="15" s="40" customFormat="1">
      <c r="C71" s="57" t="s">
        <v>66</v>
      </c>
      <c r="D71" s="33"/>
      <c r="E71" s="33"/>
      <c r="F71" s="55">
        <v>100000</v>
      </c>
      <c r="G71" s="223"/>
      <c r="H71" s="209"/>
      <c r="I71" s="209"/>
      <c r="J71" s="209"/>
      <c r="K71" s="209"/>
      <c r="L71" s="71"/>
      <c r="M71" s="95"/>
      <c r="N71" s="104"/>
      <c r="O71" s="104"/>
      <c r="P71" s="95"/>
      <c r="Q71" s="115"/>
      <c r="S71" s="81"/>
    </row>
    <row r="72" spans="1:19" customHeight="1" ht="15" s="40" customFormat="1">
      <c r="C72" s="57" t="s">
        <v>67</v>
      </c>
      <c r="D72" s="33"/>
      <c r="E72" s="33"/>
      <c r="F72" s="55">
        <v>400000</v>
      </c>
      <c r="G72" s="223"/>
      <c r="H72" s="209"/>
      <c r="I72" s="209"/>
      <c r="J72" s="209"/>
      <c r="K72" s="209"/>
      <c r="L72" s="71"/>
      <c r="M72" s="95"/>
      <c r="N72" s="104"/>
      <c r="O72" s="104"/>
      <c r="P72" s="95"/>
      <c r="Q72" s="115"/>
      <c r="S72" s="81"/>
    </row>
    <row r="73" spans="1:19" customHeight="1" ht="15" s="40" customFormat="1">
      <c r="C73" s="57" t="s">
        <v>68</v>
      </c>
      <c r="D73" s="33"/>
      <c r="E73" s="33"/>
      <c r="F73" s="55">
        <v>120000</v>
      </c>
      <c r="G73" s="223"/>
      <c r="H73" s="209"/>
      <c r="I73" s="209"/>
      <c r="J73" s="209"/>
      <c r="K73" s="209"/>
      <c r="L73" s="71"/>
      <c r="M73" s="95"/>
      <c r="N73" s="104"/>
      <c r="O73" s="104"/>
      <c r="P73" s="95"/>
      <c r="Q73" s="115"/>
      <c r="S73" s="81"/>
    </row>
    <row r="74" spans="1:19" customHeight="1" ht="15" s="40" customFormat="1">
      <c r="C74" s="57" t="s">
        <v>69</v>
      </c>
      <c r="D74" s="33"/>
      <c r="E74" s="33"/>
      <c r="F74" s="55">
        <v>100000</v>
      </c>
      <c r="G74" s="223"/>
      <c r="H74" s="209"/>
      <c r="I74" s="209"/>
      <c r="J74" s="209"/>
      <c r="K74" s="209"/>
      <c r="L74" s="71"/>
      <c r="M74" s="95"/>
      <c r="N74" s="104"/>
      <c r="O74" s="104"/>
      <c r="P74" s="95"/>
      <c r="Q74" s="115"/>
      <c r="S74" s="81"/>
    </row>
    <row r="75" spans="1:19" customHeight="1" ht="15" s="40" customFormat="1">
      <c r="C75" s="57" t="s">
        <v>70</v>
      </c>
      <c r="D75" s="33"/>
      <c r="E75" s="33"/>
      <c r="F75" s="55">
        <v>50000</v>
      </c>
      <c r="G75" s="223"/>
      <c r="H75" s="209"/>
      <c r="I75" s="209"/>
      <c r="J75" s="209"/>
      <c r="K75" s="209"/>
      <c r="L75" s="71"/>
      <c r="M75" s="95"/>
      <c r="N75" s="104"/>
      <c r="O75" s="104"/>
      <c r="P75" s="95"/>
      <c r="Q75" s="115"/>
      <c r="S75" s="81"/>
    </row>
    <row r="76" spans="1:19" customHeight="1" ht="15" s="40" customFormat="1">
      <c r="C76" s="57" t="s">
        <v>71</v>
      </c>
      <c r="D76" s="33"/>
      <c r="E76" s="33"/>
      <c r="F76" s="56">
        <v>100000</v>
      </c>
      <c r="G76" s="223"/>
      <c r="H76" s="209"/>
      <c r="I76" s="209"/>
      <c r="J76" s="209"/>
      <c r="K76" s="209"/>
      <c r="L76" s="71"/>
      <c r="M76" s="95"/>
      <c r="N76" s="104"/>
      <c r="O76" s="104"/>
      <c r="P76" s="95"/>
      <c r="Q76" s="115"/>
      <c r="S76" s="81"/>
    </row>
    <row r="77" spans="1:19" customHeight="1" ht="15" s="40" customFormat="1">
      <c r="C77" s="33" t="s">
        <v>81</v>
      </c>
      <c r="D77" s="33"/>
      <c r="E77" s="33"/>
      <c r="F77" s="21"/>
      <c r="G77" s="208" t="s">
        <v>82</v>
      </c>
      <c r="H77" s="210">
        <v>3401698.5</v>
      </c>
      <c r="I77" s="210">
        <f>1610329.5+6060+480000</f>
        <v>2096389.5</v>
      </c>
      <c r="J77" s="210">
        <f>K77-I77</f>
        <v>3333610.5</v>
      </c>
      <c r="K77" s="224">
        <v>5430000</v>
      </c>
      <c r="L77" s="51">
        <f>SUM(F78:F80)</f>
        <v>4050000</v>
      </c>
      <c r="M77" s="139"/>
      <c r="N77" s="104"/>
      <c r="O77" s="104"/>
      <c r="P77" s="95"/>
      <c r="Q77" s="115"/>
      <c r="S77" s="81"/>
    </row>
    <row r="78" spans="1:19" customHeight="1" ht="15" s="40" customFormat="1">
      <c r="C78" s="57" t="s">
        <v>65</v>
      </c>
      <c r="D78" s="33"/>
      <c r="E78" s="33"/>
      <c r="F78" s="55">
        <v>3000000</v>
      </c>
      <c r="G78" s="223"/>
      <c r="H78" s="209"/>
      <c r="I78" s="209"/>
      <c r="J78" s="209"/>
      <c r="K78" s="209"/>
      <c r="L78" s="71"/>
      <c r="M78" s="95"/>
      <c r="N78" s="104"/>
      <c r="O78" s="104"/>
      <c r="P78" s="95"/>
      <c r="Q78" s="115"/>
      <c r="S78" s="81"/>
    </row>
    <row r="79" spans="1:19" customHeight="1" ht="15" s="40" customFormat="1">
      <c r="C79" s="57" t="s">
        <v>78</v>
      </c>
      <c r="D79" s="33"/>
      <c r="E79" s="33"/>
      <c r="F79" s="55">
        <v>50000</v>
      </c>
      <c r="G79" s="223"/>
      <c r="H79" s="209"/>
      <c r="I79" s="209"/>
      <c r="J79" s="209"/>
      <c r="K79" s="209"/>
      <c r="L79" s="71"/>
      <c r="M79" s="95"/>
      <c r="N79" s="104"/>
      <c r="O79" s="104"/>
      <c r="P79" s="95"/>
      <c r="Q79" s="115"/>
      <c r="S79" s="81"/>
    </row>
    <row r="80" spans="1:19" customHeight="1" ht="15" s="40" customFormat="1">
      <c r="C80" s="57" t="s">
        <v>68</v>
      </c>
      <c r="D80" s="33"/>
      <c r="E80" s="33"/>
      <c r="F80" s="56">
        <v>1000000</v>
      </c>
      <c r="G80" s="223"/>
      <c r="H80" s="225">
        <v>0</v>
      </c>
      <c r="I80" s="225">
        <v>0</v>
      </c>
      <c r="J80" s="225">
        <v>0</v>
      </c>
      <c r="K80" s="225">
        <v>0</v>
      </c>
      <c r="L80" s="192">
        <v>0</v>
      </c>
      <c r="M80" s="95"/>
      <c r="N80" s="104"/>
      <c r="O80" s="104"/>
      <c r="P80" s="95"/>
      <c r="Q80" s="115"/>
      <c r="S80" s="81"/>
    </row>
    <row r="81" spans="1:19" customHeight="1" ht="15" s="40" customFormat="1">
      <c r="A81" s="263" t="s">
        <v>75</v>
      </c>
      <c r="B81" s="161"/>
      <c r="C81" s="162"/>
      <c r="D81" s="163"/>
      <c r="E81" s="163"/>
      <c r="F81" s="164"/>
      <c r="G81" s="227"/>
      <c r="H81" s="312">
        <f>SUM(H61:H80)</f>
        <v>10552233.19</v>
      </c>
      <c r="I81" s="312">
        <f>SUM(I61:I80)</f>
        <v>8409933.37</v>
      </c>
      <c r="J81" s="312">
        <f>SUM(J61:J80)</f>
        <v>11660066.63</v>
      </c>
      <c r="K81" s="312">
        <f>SUM(K61:K80)</f>
        <v>20070000</v>
      </c>
      <c r="L81" s="313">
        <f>SUM(L61:L80)</f>
        <v>15000000</v>
      </c>
      <c r="M81" s="95"/>
      <c r="N81" s="104"/>
      <c r="O81" s="104"/>
      <c r="P81" s="95"/>
      <c r="Q81" s="115"/>
      <c r="S81" s="81"/>
    </row>
    <row r="82" spans="1:19" customHeight="1" ht="15" s="22" customFormat="1">
      <c r="A82" s="59" t="s">
        <v>62</v>
      </c>
      <c r="B82" s="21"/>
      <c r="C82" s="21"/>
      <c r="D82" s="21"/>
      <c r="E82" s="21"/>
      <c r="F82" s="21"/>
      <c r="G82" s="181"/>
      <c r="H82" s="181"/>
      <c r="I82" s="181"/>
      <c r="J82" s="181"/>
      <c r="K82" s="181"/>
      <c r="L82" s="193"/>
      <c r="M82" s="93"/>
      <c r="N82" s="33"/>
      <c r="O82" s="33"/>
      <c r="P82" s="93"/>
      <c r="Q82" s="113"/>
      <c r="S82" s="82"/>
    </row>
    <row r="83" spans="1:19" customHeight="1" ht="15" s="40" customFormat="1">
      <c r="C83" s="33" t="s">
        <v>83</v>
      </c>
      <c r="D83" s="33"/>
      <c r="E83" s="33"/>
      <c r="F83" s="185"/>
      <c r="G83" s="223" t="s">
        <v>84</v>
      </c>
      <c r="H83" s="295">
        <v>2036990.84</v>
      </c>
      <c r="I83" s="295">
        <f>646087.64+26190.92</f>
        <v>672278.56</v>
      </c>
      <c r="J83" s="295">
        <f>K83-I83</f>
        <v>6397721.44</v>
      </c>
      <c r="K83" s="295">
        <v>7070000</v>
      </c>
      <c r="L83" s="296">
        <v>5000000</v>
      </c>
      <c r="M83" s="95"/>
      <c r="N83" s="104"/>
      <c r="O83" s="104"/>
      <c r="P83" s="95"/>
      <c r="Q83" s="115"/>
      <c r="S83" s="81"/>
    </row>
    <row r="84" spans="1:19" customHeight="1" ht="15" s="40" customFormat="1">
      <c r="C84" s="57" t="s">
        <v>85</v>
      </c>
      <c r="D84" s="33"/>
      <c r="E84" s="33"/>
      <c r="F84" s="21"/>
      <c r="G84" s="223"/>
      <c r="H84" s="210"/>
      <c r="I84" s="210"/>
      <c r="J84" s="210"/>
      <c r="K84" s="224"/>
      <c r="L84" s="51"/>
      <c r="M84" s="95"/>
      <c r="N84" s="104"/>
      <c r="O84" s="104"/>
      <c r="P84" s="95"/>
      <c r="Q84" s="115"/>
      <c r="S84" s="81"/>
    </row>
    <row r="85" spans="1:19" customHeight="1" ht="15" s="40" customFormat="1">
      <c r="C85" s="57" t="s">
        <v>86</v>
      </c>
      <c r="D85" s="33"/>
      <c r="E85" s="33"/>
      <c r="F85" s="21"/>
      <c r="G85" s="223"/>
      <c r="H85" s="210"/>
      <c r="I85" s="210"/>
      <c r="J85" s="210"/>
      <c r="K85" s="224"/>
      <c r="L85" s="51"/>
      <c r="M85" s="95"/>
      <c r="N85" s="104"/>
      <c r="O85" s="104"/>
      <c r="P85" s="95"/>
      <c r="Q85" s="115"/>
      <c r="S85" s="81"/>
    </row>
    <row r="86" spans="1:19" customHeight="1" ht="15" s="40" customFormat="1">
      <c r="C86" s="57" t="s">
        <v>87</v>
      </c>
      <c r="D86" s="33"/>
      <c r="E86" s="33"/>
      <c r="F86" s="21"/>
      <c r="G86" s="223"/>
      <c r="H86" s="210"/>
      <c r="I86" s="210"/>
      <c r="J86" s="210"/>
      <c r="K86" s="224"/>
      <c r="L86" s="51"/>
      <c r="M86" s="95"/>
      <c r="N86" s="104"/>
      <c r="O86" s="104"/>
      <c r="P86" s="95"/>
      <c r="Q86" s="115"/>
      <c r="S86" s="81"/>
    </row>
    <row r="87" spans="1:19" customHeight="1" ht="15" s="40" customFormat="1">
      <c r="C87" s="57" t="s">
        <v>69</v>
      </c>
      <c r="D87" s="33"/>
      <c r="E87" s="33"/>
      <c r="F87" s="92"/>
      <c r="G87" s="223"/>
      <c r="H87" s="210"/>
      <c r="I87" s="210"/>
      <c r="J87" s="210"/>
      <c r="K87" s="224"/>
      <c r="L87" s="51"/>
      <c r="M87" s="95"/>
      <c r="N87" s="104"/>
      <c r="O87" s="104"/>
      <c r="P87" s="95"/>
      <c r="Q87" s="115"/>
      <c r="S87" s="81"/>
    </row>
    <row r="88" spans="1:19" customHeight="1" ht="15" s="40" customFormat="1">
      <c r="C88" s="33" t="s">
        <v>88</v>
      </c>
      <c r="D88" s="33"/>
      <c r="E88" s="33"/>
      <c r="F88" s="51"/>
      <c r="G88" s="223" t="s">
        <v>89</v>
      </c>
      <c r="H88" s="210">
        <v>41603451.85</v>
      </c>
      <c r="I88" s="210">
        <f>11426310.17</f>
        <v>11426310.17</v>
      </c>
      <c r="J88" s="210">
        <f>K88-I88</f>
        <v>37345730.25</v>
      </c>
      <c r="K88" s="224">
        <v>48772040.42</v>
      </c>
      <c r="L88" s="51">
        <v>40000000</v>
      </c>
      <c r="M88" s="146"/>
      <c r="N88" s="104"/>
      <c r="O88" s="104"/>
      <c r="P88" s="95"/>
      <c r="Q88" s="115"/>
      <c r="S88" s="81"/>
    </row>
    <row r="89" spans="1:19" customHeight="1" ht="15" s="40" customFormat="1">
      <c r="C89" s="57" t="s">
        <v>90</v>
      </c>
      <c r="D89" s="33"/>
      <c r="E89" s="33"/>
      <c r="F89" s="21"/>
      <c r="G89" s="223"/>
      <c r="H89" s="210"/>
      <c r="I89" s="210"/>
      <c r="J89" s="210"/>
      <c r="K89" s="224"/>
      <c r="L89" s="51"/>
      <c r="M89" s="95"/>
      <c r="N89" s="104"/>
      <c r="O89" s="104"/>
      <c r="P89" s="95"/>
      <c r="Q89" s="115"/>
      <c r="S89" s="81"/>
    </row>
    <row r="90" spans="1:19" customHeight="1" ht="15" s="40" customFormat="1">
      <c r="C90" s="57" t="s">
        <v>91</v>
      </c>
      <c r="D90" s="33"/>
      <c r="E90" s="33"/>
      <c r="F90" s="21"/>
      <c r="G90" s="223"/>
      <c r="H90" s="210"/>
      <c r="I90" s="210"/>
      <c r="J90" s="210"/>
      <c r="K90" s="224"/>
      <c r="L90" s="51"/>
      <c r="M90" s="95"/>
      <c r="N90" s="104"/>
      <c r="O90" s="104"/>
      <c r="P90" s="95"/>
      <c r="Q90" s="115"/>
      <c r="S90" s="81"/>
    </row>
    <row r="91" spans="1:19" customHeight="1" ht="15" s="40" customFormat="1">
      <c r="C91" s="57" t="s">
        <v>92</v>
      </c>
      <c r="D91" s="33"/>
      <c r="E91" s="33"/>
      <c r="F91" s="21"/>
      <c r="G91" s="223"/>
      <c r="H91" s="210"/>
      <c r="I91" s="210"/>
      <c r="J91" s="210"/>
      <c r="K91" s="224"/>
      <c r="L91" s="51"/>
      <c r="M91" s="95"/>
      <c r="N91" s="104"/>
      <c r="O91" s="104"/>
      <c r="P91" s="95"/>
      <c r="Q91" s="115"/>
      <c r="S91" s="81"/>
    </row>
    <row r="92" spans="1:19" customHeight="1" ht="15" s="40" customFormat="1">
      <c r="C92" s="57" t="s">
        <v>87</v>
      </c>
      <c r="D92" s="33"/>
      <c r="E92" s="33"/>
      <c r="F92" s="21"/>
      <c r="G92" s="223"/>
      <c r="H92" s="210"/>
      <c r="I92" s="210"/>
      <c r="J92" s="210"/>
      <c r="K92" s="224"/>
      <c r="L92" s="51"/>
      <c r="M92" s="95"/>
      <c r="N92" s="104"/>
      <c r="O92" s="104"/>
      <c r="P92" s="95"/>
      <c r="Q92" s="115"/>
      <c r="S92" s="81"/>
    </row>
    <row r="93" spans="1:19" customHeight="1" ht="15" s="40" customFormat="1">
      <c r="C93" s="57" t="s">
        <v>69</v>
      </c>
      <c r="D93" s="33"/>
      <c r="E93" s="33"/>
      <c r="F93" s="92"/>
      <c r="G93" s="223"/>
      <c r="H93" s="210"/>
      <c r="I93" s="210"/>
      <c r="J93" s="210"/>
      <c r="K93" s="224"/>
      <c r="L93" s="51"/>
      <c r="M93" s="95"/>
      <c r="N93" s="104"/>
      <c r="O93" s="104"/>
      <c r="P93" s="95"/>
      <c r="Q93" s="115"/>
      <c r="S93" s="81"/>
    </row>
    <row r="94" spans="1:19" customHeight="1" ht="15" s="40" customFormat="1">
      <c r="C94" s="33" t="s">
        <v>93</v>
      </c>
      <c r="D94" s="33"/>
      <c r="E94" s="33"/>
      <c r="F94" s="21"/>
      <c r="G94" s="223" t="s">
        <v>94</v>
      </c>
      <c r="H94" s="210">
        <v>0</v>
      </c>
      <c r="I94" s="210">
        <v>0</v>
      </c>
      <c r="J94" s="210">
        <f>K94-I94</f>
        <v>6000</v>
      </c>
      <c r="K94" s="224">
        <v>6000</v>
      </c>
      <c r="L94" s="51">
        <v>6000</v>
      </c>
      <c r="M94" s="95"/>
      <c r="N94" s="104"/>
      <c r="O94" s="104"/>
      <c r="P94" s="95"/>
      <c r="Q94" s="115"/>
      <c r="S94" s="81"/>
    </row>
    <row r="95" spans="1:19" customHeight="1" ht="15" s="49" customFormat="1">
      <c r="C95" s="33" t="s">
        <v>95</v>
      </c>
      <c r="D95" s="33"/>
      <c r="E95" s="33"/>
      <c r="F95" s="21"/>
      <c r="G95" s="223" t="s">
        <v>96</v>
      </c>
      <c r="H95" s="229">
        <v>1306708.92</v>
      </c>
      <c r="I95" s="229">
        <f>528278.86+25049.77+5411.09</f>
        <v>558739.72</v>
      </c>
      <c r="J95" s="210">
        <f>K95-I95</f>
        <v>1180260.28</v>
      </c>
      <c r="K95" s="224">
        <v>1739000</v>
      </c>
      <c r="L95" s="51">
        <f>SUM(F96:F101)</f>
        <v>943000</v>
      </c>
      <c r="M95" s="139"/>
      <c r="N95" s="104"/>
      <c r="O95" s="104"/>
      <c r="P95" s="95"/>
      <c r="Q95" s="119"/>
      <c r="S95" s="87"/>
    </row>
    <row r="96" spans="1:19" customHeight="1" ht="15" s="40" customFormat="1">
      <c r="C96" s="57" t="s">
        <v>65</v>
      </c>
      <c r="D96" s="33"/>
      <c r="E96" s="33"/>
      <c r="F96" s="55">
        <v>700000</v>
      </c>
      <c r="G96" s="223"/>
      <c r="H96" s="209"/>
      <c r="I96" s="209"/>
      <c r="J96" s="209"/>
      <c r="K96" s="209"/>
      <c r="L96" s="71"/>
      <c r="M96" s="95"/>
      <c r="N96" s="104"/>
      <c r="O96" s="104"/>
      <c r="P96" s="95"/>
      <c r="Q96" s="115"/>
      <c r="S96" s="81"/>
    </row>
    <row r="97" spans="1:19" customHeight="1" ht="15" s="40" customFormat="1">
      <c r="C97" s="57" t="s">
        <v>67</v>
      </c>
      <c r="D97" s="33"/>
      <c r="E97" s="33"/>
      <c r="F97" s="55">
        <v>50000</v>
      </c>
      <c r="G97" s="223"/>
      <c r="H97" s="209"/>
      <c r="I97" s="209"/>
      <c r="J97" s="209"/>
      <c r="K97" s="209"/>
      <c r="L97" s="71"/>
      <c r="M97" s="95"/>
      <c r="N97" s="104"/>
      <c r="O97" s="104"/>
      <c r="P97" s="95"/>
      <c r="Q97" s="115"/>
      <c r="S97" s="81"/>
    </row>
    <row r="98" spans="1:19" customHeight="1" ht="15" s="40" customFormat="1">
      <c r="C98" s="57" t="s">
        <v>68</v>
      </c>
      <c r="D98" s="33"/>
      <c r="E98" s="33"/>
      <c r="F98" s="55">
        <v>100000</v>
      </c>
      <c r="G98" s="223"/>
      <c r="H98" s="209"/>
      <c r="I98" s="209"/>
      <c r="J98" s="209"/>
      <c r="K98" s="209"/>
      <c r="L98" s="71"/>
      <c r="M98" s="95"/>
      <c r="N98" s="104"/>
      <c r="O98" s="104"/>
      <c r="P98" s="95"/>
      <c r="Q98" s="115"/>
      <c r="S98" s="81"/>
    </row>
    <row r="99" spans="1:19" customHeight="1" ht="15" s="40" customFormat="1">
      <c r="C99" s="57" t="s">
        <v>69</v>
      </c>
      <c r="D99" s="33"/>
      <c r="E99" s="33"/>
      <c r="F99" s="55">
        <v>40000</v>
      </c>
      <c r="G99" s="223"/>
      <c r="H99" s="209"/>
      <c r="I99" s="209"/>
      <c r="J99" s="209"/>
      <c r="K99" s="209"/>
      <c r="L99" s="71"/>
      <c r="M99" s="95"/>
      <c r="N99" s="104"/>
      <c r="O99" s="104"/>
      <c r="P99" s="95"/>
      <c r="Q99" s="115"/>
      <c r="S99" s="81"/>
    </row>
    <row r="100" spans="1:19" customHeight="1" ht="15" s="40" customFormat="1">
      <c r="C100" s="57" t="s">
        <v>70</v>
      </c>
      <c r="D100" s="33"/>
      <c r="E100" s="33"/>
      <c r="F100" s="55">
        <v>45000</v>
      </c>
      <c r="G100" s="223"/>
      <c r="H100" s="209"/>
      <c r="I100" s="209"/>
      <c r="J100" s="209"/>
      <c r="K100" s="209"/>
      <c r="L100" s="71"/>
      <c r="M100" s="95"/>
      <c r="N100" s="104"/>
      <c r="O100" s="104"/>
      <c r="P100" s="95"/>
      <c r="Q100" s="115"/>
      <c r="S100" s="81"/>
    </row>
    <row r="101" spans="1:19" customHeight="1" ht="15" s="40" customFormat="1">
      <c r="C101" s="57" t="s">
        <v>71</v>
      </c>
      <c r="D101" s="33"/>
      <c r="E101" s="33"/>
      <c r="F101" s="56">
        <v>8000</v>
      </c>
      <c r="G101" s="223"/>
      <c r="H101" s="225">
        <v>0</v>
      </c>
      <c r="I101" s="225">
        <v>0</v>
      </c>
      <c r="J101" s="225">
        <v>0</v>
      </c>
      <c r="K101" s="225">
        <v>0</v>
      </c>
      <c r="L101" s="192">
        <v>0</v>
      </c>
      <c r="M101" s="95"/>
      <c r="N101" s="104"/>
      <c r="O101" s="104"/>
      <c r="P101" s="95"/>
      <c r="Q101" s="115"/>
      <c r="S101" s="81"/>
    </row>
    <row r="102" spans="1:19" customHeight="1" ht="15" s="40" customFormat="1">
      <c r="A102" s="18" t="s">
        <v>75</v>
      </c>
      <c r="C102" s="57"/>
      <c r="D102" s="33"/>
      <c r="E102" s="33"/>
      <c r="F102" s="56"/>
      <c r="G102" s="223"/>
      <c r="H102" s="299">
        <f>SUM(H83:H101)</f>
        <v>44947151.61</v>
      </c>
      <c r="I102" s="299">
        <f>SUM(I83:I101)</f>
        <v>12657328.45</v>
      </c>
      <c r="J102" s="299">
        <f>SUM(J83:J101)</f>
        <v>44929711.97</v>
      </c>
      <c r="K102" s="299">
        <f>SUM(K83:K101)</f>
        <v>57587040.42</v>
      </c>
      <c r="L102" s="300">
        <f>SUM(L83:L101)</f>
        <v>45949000</v>
      </c>
      <c r="M102" s="95"/>
      <c r="N102" s="104"/>
      <c r="O102" s="104"/>
      <c r="P102" s="95"/>
      <c r="Q102" s="115"/>
      <c r="S102" s="81"/>
    </row>
    <row r="103" spans="1:19" customHeight="1" ht="15" s="40" customFormat="1">
      <c r="A103" s="161"/>
      <c r="B103" s="161"/>
      <c r="C103" s="162"/>
      <c r="D103" s="163"/>
      <c r="E103" s="163"/>
      <c r="F103" s="164"/>
      <c r="G103" s="227"/>
      <c r="H103" s="228"/>
      <c r="I103" s="228"/>
      <c r="J103" s="228"/>
      <c r="K103" s="228"/>
      <c r="L103" s="165"/>
      <c r="M103" s="95"/>
      <c r="N103" s="104"/>
      <c r="O103" s="104"/>
      <c r="P103" s="95"/>
      <c r="Q103" s="115"/>
      <c r="S103" s="81"/>
    </row>
    <row r="104" spans="1:19" customHeight="1" ht="12.95" s="22" customFormat="1">
      <c r="A104" s="59" t="s">
        <v>62</v>
      </c>
      <c r="B104" s="21"/>
      <c r="C104" s="21"/>
      <c r="D104" s="21"/>
      <c r="E104" s="21"/>
      <c r="F104" s="21"/>
      <c r="G104" s="181"/>
      <c r="H104" s="181"/>
      <c r="I104" s="181"/>
      <c r="J104" s="181"/>
      <c r="K104" s="181"/>
      <c r="L104" s="193"/>
      <c r="M104" s="93"/>
      <c r="N104" s="33"/>
      <c r="O104" s="33"/>
      <c r="P104" s="93"/>
      <c r="Q104" s="113"/>
      <c r="S104" s="82"/>
    </row>
    <row r="105" spans="1:19" customHeight="1" ht="12.95" s="40" customFormat="1">
      <c r="C105" s="33" t="s">
        <v>97</v>
      </c>
      <c r="D105" s="33"/>
      <c r="E105" s="33"/>
      <c r="F105" s="56"/>
      <c r="G105" s="223" t="s">
        <v>98</v>
      </c>
      <c r="H105" s="295">
        <v>24453.11</v>
      </c>
      <c r="I105" s="295">
        <v>5379.93</v>
      </c>
      <c r="J105" s="295">
        <f>K105-I105</f>
        <v>19620.07</v>
      </c>
      <c r="K105" s="295">
        <v>25000</v>
      </c>
      <c r="L105" s="296">
        <f>SUM(F106:F106)</f>
        <v>25000</v>
      </c>
      <c r="M105" s="95"/>
      <c r="N105" s="104"/>
      <c r="O105" s="104"/>
      <c r="P105" s="95"/>
      <c r="Q105" s="115"/>
      <c r="S105" s="81"/>
    </row>
    <row r="106" spans="1:19" customHeight="1" ht="12.95" s="40" customFormat="1">
      <c r="C106" s="57" t="s">
        <v>71</v>
      </c>
      <c r="D106" s="33"/>
      <c r="E106" s="33"/>
      <c r="F106" s="56">
        <v>25000</v>
      </c>
      <c r="G106" s="223"/>
      <c r="H106" s="209"/>
      <c r="I106" s="209"/>
      <c r="J106" s="209"/>
      <c r="K106" s="209"/>
      <c r="L106" s="71"/>
      <c r="M106" s="95"/>
      <c r="N106" s="104"/>
      <c r="O106" s="104"/>
      <c r="P106" s="95"/>
      <c r="Q106" s="115"/>
      <c r="S106" s="81"/>
    </row>
    <row r="107" spans="1:19" customHeight="1" ht="12.95" s="40" customFormat="1">
      <c r="C107" s="33" t="s">
        <v>99</v>
      </c>
      <c r="D107" s="33"/>
      <c r="E107" s="33"/>
      <c r="F107" s="33"/>
      <c r="G107" s="208" t="s">
        <v>100</v>
      </c>
      <c r="H107" s="230">
        <v>0</v>
      </c>
      <c r="I107" s="230">
        <f>0</f>
        <v>0</v>
      </c>
      <c r="J107" s="210">
        <f>K107-I107</f>
        <v>255000</v>
      </c>
      <c r="K107" s="230">
        <v>255000</v>
      </c>
      <c r="L107" s="72">
        <f>SUM(F108:F110)</f>
        <v>355000</v>
      </c>
      <c r="M107" s="95"/>
      <c r="N107" s="104"/>
      <c r="O107" s="104"/>
      <c r="P107" s="95"/>
      <c r="Q107" s="115"/>
      <c r="S107" s="81"/>
    </row>
    <row r="108" spans="1:19" customHeight="1" ht="12.95" s="40" customFormat="1">
      <c r="C108" s="57" t="s">
        <v>65</v>
      </c>
      <c r="D108" s="33"/>
      <c r="E108" s="33"/>
      <c r="F108" s="55">
        <v>300000</v>
      </c>
      <c r="G108" s="223"/>
      <c r="H108" s="209"/>
      <c r="I108" s="209"/>
      <c r="J108" s="209"/>
      <c r="K108" s="209"/>
      <c r="L108" s="71"/>
      <c r="M108" s="95"/>
      <c r="N108" s="104"/>
      <c r="O108" s="104"/>
      <c r="P108" s="95"/>
      <c r="Q108" s="115"/>
      <c r="S108" s="81"/>
    </row>
    <row r="109" spans="1:19" customHeight="1" ht="12.95" s="40" customFormat="1">
      <c r="C109" s="57" t="s">
        <v>78</v>
      </c>
      <c r="D109" s="33"/>
      <c r="E109" s="33"/>
      <c r="F109" s="55">
        <v>35000</v>
      </c>
      <c r="G109" s="223"/>
      <c r="H109" s="209"/>
      <c r="I109" s="209"/>
      <c r="J109" s="209"/>
      <c r="K109" s="209"/>
      <c r="L109" s="71"/>
      <c r="M109" s="95"/>
      <c r="N109" s="104"/>
      <c r="O109" s="104"/>
      <c r="P109" s="95"/>
      <c r="Q109" s="115"/>
      <c r="S109" s="81"/>
    </row>
    <row r="110" spans="1:19" customHeight="1" ht="12.95" s="40" customFormat="1">
      <c r="C110" s="57" t="s">
        <v>71</v>
      </c>
      <c r="D110" s="33"/>
      <c r="E110" s="33"/>
      <c r="F110" s="56">
        <v>20000</v>
      </c>
      <c r="G110" s="223"/>
      <c r="H110" s="209"/>
      <c r="I110" s="209"/>
      <c r="J110" s="209"/>
      <c r="K110" s="209"/>
      <c r="L110" s="71"/>
      <c r="M110" s="95"/>
      <c r="N110" s="104"/>
      <c r="O110" s="104"/>
      <c r="P110" s="95"/>
      <c r="Q110" s="115"/>
      <c r="S110" s="81"/>
    </row>
    <row r="111" spans="1:19" customHeight="1" ht="12.95" s="40" customFormat="1">
      <c r="C111" s="33" t="s">
        <v>101</v>
      </c>
      <c r="D111" s="33"/>
      <c r="E111" s="33"/>
      <c r="F111" s="33"/>
      <c r="G111" s="208" t="s">
        <v>102</v>
      </c>
      <c r="H111" s="224">
        <v>467435</v>
      </c>
      <c r="I111" s="224">
        <f>311780+19552.18+39950</f>
        <v>371282.18</v>
      </c>
      <c r="J111" s="210">
        <f>K111-I111</f>
        <v>1928717.82</v>
      </c>
      <c r="K111" s="224">
        <v>2300000</v>
      </c>
      <c r="L111" s="51">
        <f>SUM(F113:F117)</f>
        <v>1800000</v>
      </c>
      <c r="M111" s="95"/>
      <c r="N111" s="104"/>
      <c r="O111" s="104"/>
      <c r="P111" s="95"/>
      <c r="Q111" s="115"/>
      <c r="S111" s="81"/>
    </row>
    <row r="112" spans="1:19" customHeight="1" ht="12.95" s="40" customFormat="1">
      <c r="C112" s="57" t="s">
        <v>65</v>
      </c>
      <c r="D112" s="33"/>
      <c r="E112" s="33"/>
      <c r="F112" s="33"/>
      <c r="G112" s="208"/>
      <c r="H112" s="224"/>
      <c r="I112" s="224"/>
      <c r="J112" s="224"/>
      <c r="K112" s="224"/>
      <c r="L112" s="51"/>
      <c r="M112" s="95"/>
      <c r="N112" s="104"/>
      <c r="O112" s="104"/>
      <c r="P112" s="95"/>
      <c r="Q112" s="115"/>
      <c r="S112" s="81"/>
    </row>
    <row r="113" spans="1:19" customHeight="1" ht="12.95" s="2" customFormat="1">
      <c r="C113" s="34" t="s">
        <v>103</v>
      </c>
      <c r="D113" s="37"/>
      <c r="E113" s="9"/>
      <c r="F113" s="35">
        <v>800000</v>
      </c>
      <c r="G113" s="213"/>
      <c r="H113" s="231"/>
      <c r="I113" s="231"/>
      <c r="J113" s="231"/>
      <c r="K113" s="231"/>
      <c r="L113" s="23"/>
      <c r="M113" s="95"/>
      <c r="N113" s="104"/>
      <c r="O113" s="104"/>
      <c r="P113" s="95"/>
      <c r="Q113" s="116"/>
      <c r="S113" s="81"/>
    </row>
    <row r="114" spans="1:19" customHeight="1" ht="12.95" s="2" customFormat="1">
      <c r="C114" s="34" t="s">
        <v>104</v>
      </c>
      <c r="D114" s="29"/>
      <c r="E114" s="9"/>
      <c r="F114" s="35">
        <v>600000</v>
      </c>
      <c r="G114" s="213"/>
      <c r="H114" s="231"/>
      <c r="I114" s="231"/>
      <c r="J114" s="231"/>
      <c r="K114" s="231"/>
      <c r="L114" s="23"/>
      <c r="M114" s="95"/>
      <c r="N114" s="104"/>
      <c r="O114" s="104"/>
      <c r="P114" s="95"/>
      <c r="Q114" s="116"/>
      <c r="S114" s="81"/>
    </row>
    <row r="115" spans="1:19" customHeight="1" ht="12.95" s="2" customFormat="1">
      <c r="C115" s="34" t="s">
        <v>105</v>
      </c>
      <c r="D115" s="29"/>
      <c r="E115" s="9"/>
      <c r="F115" s="35">
        <v>200000</v>
      </c>
      <c r="G115" s="213"/>
      <c r="H115" s="231"/>
      <c r="I115" s="231"/>
      <c r="J115" s="231"/>
      <c r="K115" s="231"/>
      <c r="L115" s="23"/>
      <c r="M115" s="95"/>
      <c r="N115" s="104"/>
      <c r="O115" s="104"/>
      <c r="P115" s="95"/>
      <c r="Q115" s="116"/>
      <c r="S115" s="81"/>
    </row>
    <row r="116" spans="1:19" customHeight="1" ht="12.95" s="40" customFormat="1">
      <c r="C116" s="57" t="s">
        <v>67</v>
      </c>
      <c r="D116" s="33"/>
      <c r="E116" s="33"/>
      <c r="F116" s="55">
        <v>50000</v>
      </c>
      <c r="G116" s="223"/>
      <c r="H116" s="209"/>
      <c r="I116" s="209"/>
      <c r="J116" s="209"/>
      <c r="K116" s="209"/>
      <c r="L116" s="71"/>
      <c r="M116" s="95"/>
      <c r="N116" s="104"/>
      <c r="O116" s="104"/>
      <c r="P116" s="95"/>
      <c r="Q116" s="115"/>
      <c r="S116" s="81"/>
    </row>
    <row r="117" spans="1:19" customHeight="1" ht="12.95" s="40" customFormat="1">
      <c r="C117" s="57" t="s">
        <v>68</v>
      </c>
      <c r="D117" s="33"/>
      <c r="E117" s="33"/>
      <c r="F117" s="56">
        <v>150000</v>
      </c>
      <c r="G117" s="223"/>
      <c r="H117" s="225"/>
      <c r="I117" s="225"/>
      <c r="J117" s="225"/>
      <c r="K117" s="225"/>
      <c r="L117" s="192"/>
      <c r="M117" s="95"/>
      <c r="N117" s="104"/>
      <c r="O117" s="104"/>
      <c r="P117" s="95"/>
      <c r="Q117" s="115"/>
      <c r="S117" s="81"/>
    </row>
    <row r="118" spans="1:19" customHeight="1" ht="12.95" s="2" customFormat="1">
      <c r="C118" s="33" t="s">
        <v>106</v>
      </c>
      <c r="D118" s="29"/>
      <c r="E118" s="9"/>
      <c r="F118" s="36"/>
      <c r="G118" s="213" t="s">
        <v>107</v>
      </c>
      <c r="H118" s="231">
        <v>3210334.94</v>
      </c>
      <c r="I118" s="231">
        <f>326200+922454.27+6000+67258.71+0+449872.35+20000+0</f>
        <v>1791785.33</v>
      </c>
      <c r="J118" s="210">
        <f>K118-I118</f>
        <v>2738214.67</v>
      </c>
      <c r="K118" s="231">
        <v>4530000</v>
      </c>
      <c r="L118" s="23">
        <f>SUM(F119:F127)</f>
        <v>4530000</v>
      </c>
      <c r="M118" s="95"/>
      <c r="N118" s="101"/>
      <c r="O118" s="101"/>
      <c r="P118" s="95"/>
      <c r="Q118" s="116"/>
      <c r="S118" s="81"/>
    </row>
    <row r="119" spans="1:19" customHeight="1" ht="12.95" s="2" customFormat="1">
      <c r="C119" s="57" t="s">
        <v>108</v>
      </c>
      <c r="D119" s="29"/>
      <c r="E119" s="9"/>
      <c r="F119" s="35">
        <v>700000</v>
      </c>
      <c r="G119" s="213"/>
      <c r="H119" s="231"/>
      <c r="I119" s="231"/>
      <c r="J119" s="231"/>
      <c r="K119" s="231"/>
      <c r="L119" s="23"/>
      <c r="M119" s="95"/>
      <c r="N119" s="101"/>
      <c r="O119" s="101"/>
      <c r="P119" s="95"/>
      <c r="Q119" s="116"/>
      <c r="S119" s="81"/>
    </row>
    <row r="120" spans="1:19" customHeight="1" ht="12.95" s="2" customFormat="1">
      <c r="C120" s="57" t="s">
        <v>109</v>
      </c>
      <c r="D120" s="29"/>
      <c r="E120" s="9"/>
      <c r="F120" s="35">
        <f>900000+600000</f>
        <v>1500000</v>
      </c>
      <c r="G120" s="213"/>
      <c r="H120" s="231"/>
      <c r="I120" s="231"/>
      <c r="J120" s="231"/>
      <c r="K120" s="231"/>
      <c r="L120" s="23"/>
      <c r="M120" s="95"/>
      <c r="N120" s="101"/>
      <c r="O120" s="101"/>
      <c r="P120" s="95"/>
      <c r="Q120" s="116"/>
      <c r="S120" s="81"/>
    </row>
    <row r="121" spans="1:19" customHeight="1" ht="12.95" s="2" customFormat="1">
      <c r="C121" s="57" t="s">
        <v>110</v>
      </c>
      <c r="D121" s="29"/>
      <c r="E121" s="9"/>
      <c r="F121" s="35">
        <v>30000</v>
      </c>
      <c r="G121" s="213"/>
      <c r="H121" s="231"/>
      <c r="I121" s="231"/>
      <c r="J121" s="231"/>
      <c r="K121" s="231"/>
      <c r="L121" s="23"/>
      <c r="M121" s="95"/>
      <c r="N121" s="101"/>
      <c r="O121" s="101"/>
      <c r="P121" s="95"/>
      <c r="Q121" s="116"/>
      <c r="S121" s="81"/>
    </row>
    <row r="122" spans="1:19" customHeight="1" ht="12.95" s="2" customFormat="1">
      <c r="C122" s="57" t="s">
        <v>111</v>
      </c>
      <c r="D122" s="29"/>
      <c r="E122" s="9"/>
      <c r="F122" s="35">
        <v>400000</v>
      </c>
      <c r="G122" s="213"/>
      <c r="H122" s="231"/>
      <c r="I122" s="231"/>
      <c r="J122" s="231"/>
      <c r="K122" s="231"/>
      <c r="L122" s="23"/>
      <c r="M122" s="95"/>
      <c r="N122" s="101"/>
      <c r="O122" s="101"/>
      <c r="P122" s="95"/>
      <c r="Q122" s="116"/>
      <c r="S122" s="81"/>
    </row>
    <row r="123" spans="1:19" customHeight="1" ht="12.95" s="2" customFormat="1">
      <c r="C123" s="57" t="s">
        <v>112</v>
      </c>
      <c r="D123" s="29"/>
      <c r="E123" s="9"/>
      <c r="F123" s="35">
        <v>200000</v>
      </c>
      <c r="G123" s="213"/>
      <c r="H123" s="231"/>
      <c r="I123" s="231"/>
      <c r="J123" s="231"/>
      <c r="K123" s="231"/>
      <c r="L123" s="23"/>
      <c r="M123" s="95"/>
      <c r="N123" s="101"/>
      <c r="O123" s="101"/>
      <c r="P123" s="95"/>
      <c r="Q123" s="116"/>
      <c r="S123" s="81"/>
    </row>
    <row r="124" spans="1:19" customHeight="1" ht="12.95" s="2" customFormat="1">
      <c r="C124" s="57" t="s">
        <v>113</v>
      </c>
      <c r="D124" s="29"/>
      <c r="E124" s="9"/>
      <c r="F124" s="35">
        <v>1500000</v>
      </c>
      <c r="G124" s="213"/>
      <c r="H124" s="231"/>
      <c r="I124" s="231"/>
      <c r="J124" s="231"/>
      <c r="K124" s="231"/>
      <c r="L124" s="23"/>
      <c r="M124" s="95"/>
      <c r="N124" s="101"/>
      <c r="O124" s="101"/>
      <c r="P124" s="95"/>
      <c r="Q124" s="116"/>
      <c r="S124" s="81"/>
    </row>
    <row r="125" spans="1:19" customHeight="1" ht="12.95" s="2" customFormat="1">
      <c r="C125" s="57" t="s">
        <v>114</v>
      </c>
      <c r="D125" s="29"/>
      <c r="E125" s="9"/>
      <c r="F125" s="35">
        <v>100000</v>
      </c>
      <c r="G125" s="213"/>
      <c r="H125" s="231"/>
      <c r="I125" s="231"/>
      <c r="J125" s="231"/>
      <c r="K125" s="231"/>
      <c r="L125" s="23"/>
      <c r="M125" s="95"/>
      <c r="N125" s="101"/>
      <c r="O125" s="101"/>
      <c r="P125" s="95"/>
      <c r="Q125" s="116"/>
      <c r="S125" s="81"/>
    </row>
    <row r="126" spans="1:19" customHeight="1" ht="12.95" s="2" customFormat="1">
      <c r="C126" s="57" t="s">
        <v>115</v>
      </c>
      <c r="D126" s="29"/>
      <c r="E126" s="9"/>
      <c r="F126" s="36"/>
      <c r="G126" s="213"/>
      <c r="H126" s="231"/>
      <c r="I126" s="231"/>
      <c r="J126" s="231"/>
      <c r="K126" s="231"/>
      <c r="L126" s="23"/>
      <c r="M126" s="95"/>
      <c r="N126" s="101"/>
      <c r="O126" s="101"/>
      <c r="P126" s="95"/>
      <c r="Q126" s="116"/>
      <c r="S126" s="81"/>
    </row>
    <row r="127" spans="1:19" customHeight="1" ht="12.95" s="65" customFormat="1">
      <c r="A127" s="18"/>
      <c r="B127" s="18"/>
      <c r="C127" s="151" t="s">
        <v>116</v>
      </c>
      <c r="D127" s="62"/>
      <c r="E127" s="63"/>
      <c r="F127" s="36">
        <v>100000</v>
      </c>
      <c r="G127" s="232"/>
      <c r="H127" s="286">
        <v>0</v>
      </c>
      <c r="I127" s="286">
        <v>0</v>
      </c>
      <c r="J127" s="286">
        <v>0</v>
      </c>
      <c r="K127" s="286">
        <v>0</v>
      </c>
      <c r="L127" s="287">
        <v>0</v>
      </c>
      <c r="M127" s="128"/>
      <c r="N127" s="132"/>
      <c r="O127" s="105"/>
      <c r="P127" s="96"/>
      <c r="Q127" s="120"/>
      <c r="S127" s="84"/>
    </row>
    <row r="128" spans="1:19" customHeight="1" ht="12.95" s="40" customFormat="1">
      <c r="A128" s="18" t="s">
        <v>75</v>
      </c>
      <c r="C128" s="57"/>
      <c r="D128" s="33"/>
      <c r="E128" s="33"/>
      <c r="F128" s="56"/>
      <c r="G128" s="223"/>
      <c r="H128" s="299">
        <f>SUM(H105:H127)</f>
        <v>3702223.05</v>
      </c>
      <c r="I128" s="299">
        <f>SUM(I105:I127)</f>
        <v>2168447.44</v>
      </c>
      <c r="J128" s="299">
        <f>SUM(J105:J127)</f>
        <v>4941552.56</v>
      </c>
      <c r="K128" s="299">
        <f>SUM(K105:K127)</f>
        <v>7110000</v>
      </c>
      <c r="L128" s="300">
        <f>SUM(L105:L127)</f>
        <v>6710000</v>
      </c>
      <c r="M128" s="95"/>
      <c r="N128" s="104"/>
      <c r="O128" s="104"/>
      <c r="P128" s="95"/>
      <c r="Q128" s="115"/>
      <c r="S128" s="81"/>
    </row>
    <row r="129" spans="1:19" customHeight="1" ht="12.95" s="40" customFormat="1">
      <c r="A129" s="263"/>
      <c r="B129" s="161"/>
      <c r="C129" s="162"/>
      <c r="D129" s="163"/>
      <c r="E129" s="163"/>
      <c r="F129" s="164"/>
      <c r="G129" s="227"/>
      <c r="H129" s="314"/>
      <c r="I129" s="314"/>
      <c r="J129" s="314"/>
      <c r="K129" s="314"/>
      <c r="L129" s="315"/>
      <c r="M129" s="95"/>
      <c r="N129" s="104"/>
      <c r="O129" s="104"/>
      <c r="P129" s="95"/>
      <c r="Q129" s="115"/>
      <c r="S129" s="81"/>
    </row>
    <row r="130" spans="1:19" customHeight="1" ht="12.95" s="22" customFormat="1">
      <c r="A130" s="59" t="s">
        <v>62</v>
      </c>
      <c r="B130" s="21"/>
      <c r="C130" s="21"/>
      <c r="D130" s="21"/>
      <c r="E130" s="21"/>
      <c r="F130" s="21"/>
      <c r="G130" s="181"/>
      <c r="H130" s="181"/>
      <c r="I130" s="181"/>
      <c r="J130" s="181"/>
      <c r="K130" s="181"/>
      <c r="L130" s="193"/>
      <c r="M130" s="93"/>
      <c r="N130" s="33"/>
      <c r="O130" s="33"/>
      <c r="P130" s="93"/>
      <c r="Q130" s="113"/>
      <c r="S130" s="82"/>
    </row>
    <row r="131" spans="1:19" customHeight="1" ht="18" s="42" customFormat="1">
      <c r="C131" s="33" t="s">
        <v>117</v>
      </c>
      <c r="D131" s="33"/>
      <c r="E131" s="52"/>
      <c r="F131" s="39"/>
      <c r="G131" s="208" t="s">
        <v>118</v>
      </c>
      <c r="H131" s="295">
        <v>2368000</v>
      </c>
      <c r="I131" s="295">
        <v>50000</v>
      </c>
      <c r="J131" s="295">
        <f>K131-I131</f>
        <v>2590000</v>
      </c>
      <c r="K131" s="295">
        <v>2640000</v>
      </c>
      <c r="L131" s="296">
        <v>0</v>
      </c>
      <c r="M131" s="93"/>
      <c r="P131" s="93"/>
      <c r="Q131" s="121"/>
      <c r="S131" s="88"/>
    </row>
    <row r="132" spans="1:19" customHeight="1" ht="18" s="54" customFormat="1">
      <c r="C132" s="33" t="s">
        <v>119</v>
      </c>
      <c r="D132" s="33"/>
      <c r="E132" s="52"/>
      <c r="F132" s="53"/>
      <c r="G132" s="208" t="s">
        <v>120</v>
      </c>
      <c r="H132" s="235">
        <v>100000</v>
      </c>
      <c r="I132" s="240">
        <v>0</v>
      </c>
      <c r="J132" s="210">
        <f>K132-I132</f>
        <v>100000</v>
      </c>
      <c r="K132" s="235">
        <v>100000</v>
      </c>
      <c r="L132" s="41">
        <v>100000</v>
      </c>
      <c r="M132" s="97"/>
      <c r="N132" s="106"/>
      <c r="O132" s="106"/>
      <c r="P132" s="97"/>
      <c r="Q132" s="122"/>
      <c r="S132" s="85"/>
    </row>
    <row r="133" spans="1:19" customHeight="1" ht="18" s="1" customFormat="1">
      <c r="C133" s="57" t="s">
        <v>121</v>
      </c>
      <c r="D133" s="29"/>
      <c r="E133" s="14"/>
      <c r="F133" s="38"/>
      <c r="G133" s="213"/>
      <c r="H133" s="236"/>
      <c r="I133" s="288"/>
      <c r="J133" s="288"/>
      <c r="K133" s="236"/>
      <c r="L133" s="25"/>
      <c r="M133" s="97"/>
      <c r="N133" s="103"/>
      <c r="O133" s="103"/>
      <c r="P133" s="97"/>
      <c r="Q133" s="118"/>
      <c r="S133" s="85"/>
    </row>
    <row r="134" spans="1:19" customHeight="1" ht="18" s="40" customFormat="1">
      <c r="C134" s="33" t="s">
        <v>122</v>
      </c>
      <c r="D134" s="33"/>
      <c r="E134" s="33"/>
      <c r="F134" s="21"/>
      <c r="G134" s="208" t="s">
        <v>123</v>
      </c>
      <c r="H134" s="235">
        <v>15074.36</v>
      </c>
      <c r="I134" s="240">
        <v>8636.24</v>
      </c>
      <c r="J134" s="210">
        <f>K134-I134</f>
        <v>191363.76</v>
      </c>
      <c r="K134" s="235">
        <v>200000</v>
      </c>
      <c r="L134" s="41">
        <v>200000</v>
      </c>
      <c r="M134" s="95"/>
      <c r="N134" s="100"/>
      <c r="O134" s="100"/>
      <c r="P134" s="95"/>
      <c r="Q134" s="115"/>
      <c r="S134" s="81"/>
    </row>
    <row r="135" spans="1:19" customHeight="1" ht="18" s="40" customFormat="1">
      <c r="C135" s="33" t="s">
        <v>124</v>
      </c>
      <c r="D135" s="33"/>
      <c r="E135" s="33"/>
      <c r="F135" s="21"/>
      <c r="G135" s="223" t="s">
        <v>125</v>
      </c>
      <c r="H135" s="235">
        <v>75958.5</v>
      </c>
      <c r="I135" s="240">
        <v>100000</v>
      </c>
      <c r="J135" s="210">
        <f>K135-I135</f>
        <v>0</v>
      </c>
      <c r="K135" s="235">
        <v>100000</v>
      </c>
      <c r="L135" s="41">
        <v>100000</v>
      </c>
      <c r="M135" s="95"/>
      <c r="N135" s="100"/>
      <c r="O135" s="100"/>
      <c r="P135" s="95"/>
      <c r="Q135" s="115"/>
      <c r="S135" s="81"/>
    </row>
    <row r="136" spans="1:19" customHeight="1" ht="18" s="40" customFormat="1">
      <c r="C136" s="33" t="s">
        <v>126</v>
      </c>
      <c r="D136" s="33"/>
      <c r="E136" s="33"/>
      <c r="F136" s="21"/>
      <c r="G136" s="223" t="s">
        <v>127</v>
      </c>
      <c r="H136" s="235">
        <v>3215380.36</v>
      </c>
      <c r="I136" s="240">
        <v>317459.16</v>
      </c>
      <c r="J136" s="210">
        <f>K136-I136</f>
        <v>4682540.84</v>
      </c>
      <c r="K136" s="235">
        <v>5000000</v>
      </c>
      <c r="L136" s="41">
        <v>2500000</v>
      </c>
      <c r="M136" s="95"/>
      <c r="N136" s="100"/>
      <c r="O136" s="100"/>
      <c r="P136" s="95"/>
      <c r="Q136" s="115"/>
      <c r="S136" s="81"/>
    </row>
    <row r="137" spans="1:19" customHeight="1" ht="18" s="40" customFormat="1">
      <c r="C137" s="57" t="s">
        <v>128</v>
      </c>
      <c r="D137" s="33"/>
      <c r="E137" s="33"/>
      <c r="F137" s="21"/>
      <c r="G137" s="223"/>
      <c r="H137" s="235"/>
      <c r="I137" s="240"/>
      <c r="J137" s="240"/>
      <c r="K137" s="235"/>
      <c r="L137" s="41"/>
      <c r="M137" s="95"/>
      <c r="N137" s="100"/>
      <c r="O137" s="100"/>
      <c r="P137" s="95"/>
      <c r="Q137" s="115"/>
      <c r="S137" s="81"/>
    </row>
    <row r="138" spans="1:19" customHeight="1" ht="18" s="40" customFormat="1">
      <c r="C138" s="33" t="s">
        <v>129</v>
      </c>
      <c r="D138" s="33"/>
      <c r="E138" s="33"/>
      <c r="F138" s="33"/>
      <c r="G138" s="208" t="s">
        <v>130</v>
      </c>
      <c r="H138" s="224">
        <v>479900</v>
      </c>
      <c r="I138" s="230">
        <v>120000</v>
      </c>
      <c r="J138" s="210">
        <f>K138-I138</f>
        <v>880000</v>
      </c>
      <c r="K138" s="224">
        <v>1000000</v>
      </c>
      <c r="L138" s="51">
        <v>1000000</v>
      </c>
      <c r="M138" s="95"/>
      <c r="N138" s="100"/>
      <c r="O138" s="100"/>
      <c r="P138" s="95"/>
      <c r="Q138" s="115"/>
      <c r="S138" s="81"/>
    </row>
    <row r="139" spans="1:19" customHeight="1" ht="18" s="2" customFormat="1">
      <c r="C139" s="57" t="s">
        <v>131</v>
      </c>
      <c r="D139" s="29"/>
      <c r="E139" s="9"/>
      <c r="F139" s="9"/>
      <c r="G139" s="213"/>
      <c r="H139" s="231"/>
      <c r="I139" s="257"/>
      <c r="J139" s="257"/>
      <c r="K139" s="231"/>
      <c r="L139" s="23"/>
      <c r="M139" s="95"/>
      <c r="N139" s="101"/>
      <c r="O139" s="101"/>
      <c r="P139" s="95"/>
      <c r="Q139" s="116"/>
      <c r="S139" s="81"/>
    </row>
    <row r="140" spans="1:19" customHeight="1" ht="18" s="40" customFormat="1">
      <c r="C140" s="33" t="s">
        <v>132</v>
      </c>
      <c r="D140" s="33"/>
      <c r="E140" s="33"/>
      <c r="F140" s="33"/>
      <c r="G140" s="208" t="s">
        <v>133</v>
      </c>
      <c r="H140" s="224">
        <v>4090350</v>
      </c>
      <c r="I140" s="230">
        <v>3388575</v>
      </c>
      <c r="J140" s="210">
        <f>K140-I140</f>
        <v>7019075</v>
      </c>
      <c r="K140" s="224">
        <v>10407650</v>
      </c>
      <c r="L140" s="51">
        <v>6000000</v>
      </c>
      <c r="M140" s="95"/>
      <c r="N140" s="100"/>
      <c r="O140" s="100"/>
      <c r="P140" s="95"/>
      <c r="Q140" s="115"/>
      <c r="S140" s="81"/>
    </row>
    <row r="141" spans="1:19" customHeight="1" ht="18" s="40" customFormat="1">
      <c r="C141" s="33" t="s">
        <v>134</v>
      </c>
      <c r="D141" s="33"/>
      <c r="E141" s="33"/>
      <c r="F141" s="21"/>
      <c r="G141" s="223" t="s">
        <v>135</v>
      </c>
      <c r="H141" s="237">
        <v>200000</v>
      </c>
      <c r="I141" s="230">
        <v>0</v>
      </c>
      <c r="J141" s="210">
        <f>K141-I141</f>
        <v>590000</v>
      </c>
      <c r="K141" s="237">
        <v>590000</v>
      </c>
      <c r="L141" s="194">
        <v>590000</v>
      </c>
      <c r="M141" s="95"/>
      <c r="N141" s="100"/>
      <c r="O141" s="100"/>
      <c r="P141" s="95"/>
      <c r="Q141" s="115"/>
      <c r="S141" s="81"/>
    </row>
    <row r="142" spans="1:19" customHeight="1" ht="18" s="40" customFormat="1">
      <c r="C142" s="57" t="s">
        <v>136</v>
      </c>
      <c r="D142" s="39"/>
      <c r="E142" s="33"/>
      <c r="F142" s="50">
        <v>200000</v>
      </c>
      <c r="G142" s="223"/>
      <c r="H142" s="229"/>
      <c r="I142" s="230"/>
      <c r="J142" s="230"/>
      <c r="K142" s="224"/>
      <c r="L142" s="51"/>
      <c r="M142" s="95"/>
      <c r="N142" s="100"/>
      <c r="O142" s="100"/>
      <c r="P142" s="95"/>
      <c r="Q142" s="115"/>
      <c r="S142" s="81"/>
    </row>
    <row r="143" spans="1:19" customHeight="1" ht="18" s="2" customFormat="1">
      <c r="C143" s="57" t="s">
        <v>137</v>
      </c>
      <c r="D143" s="29"/>
      <c r="E143" s="9"/>
      <c r="F143" s="35">
        <v>200000</v>
      </c>
      <c r="G143" s="238"/>
      <c r="H143" s="239"/>
      <c r="I143" s="257"/>
      <c r="J143" s="257"/>
      <c r="K143" s="231"/>
      <c r="L143" s="23"/>
      <c r="M143" s="95"/>
      <c r="N143" s="101"/>
      <c r="O143" s="101"/>
      <c r="P143" s="95"/>
      <c r="Q143" s="116"/>
      <c r="S143" s="81"/>
    </row>
    <row r="144" spans="1:19" customHeight="1" ht="18" s="2" customFormat="1">
      <c r="C144" s="57" t="s">
        <v>138</v>
      </c>
      <c r="D144" s="29"/>
      <c r="E144" s="9"/>
      <c r="F144" s="35">
        <v>40000</v>
      </c>
      <c r="G144" s="238"/>
      <c r="H144" s="239"/>
      <c r="I144" s="257"/>
      <c r="J144" s="257"/>
      <c r="K144" s="231"/>
      <c r="L144" s="23"/>
      <c r="M144" s="95"/>
      <c r="N144" s="101"/>
      <c r="O144" s="101"/>
      <c r="P144" s="95"/>
      <c r="Q144" s="116"/>
      <c r="S144" s="81"/>
    </row>
    <row r="145" spans="1:19" customHeight="1" ht="18" s="2" customFormat="1">
      <c r="C145" s="57" t="s">
        <v>139</v>
      </c>
      <c r="D145" s="29"/>
      <c r="E145" s="9"/>
      <c r="F145" s="36">
        <v>150000</v>
      </c>
      <c r="G145" s="238"/>
      <c r="H145" s="239"/>
      <c r="I145" s="257"/>
      <c r="J145" s="257"/>
      <c r="K145" s="231"/>
      <c r="L145" s="23"/>
      <c r="M145" s="95"/>
      <c r="N145" s="101"/>
      <c r="O145" s="101"/>
      <c r="P145" s="95"/>
      <c r="Q145" s="116"/>
      <c r="S145" s="81"/>
    </row>
    <row r="146" spans="1:19" customHeight="1" ht="18" s="40" customFormat="1">
      <c r="C146" s="33" t="s">
        <v>140</v>
      </c>
      <c r="D146" s="33"/>
      <c r="E146" s="33"/>
      <c r="F146" s="44"/>
      <c r="G146" s="208" t="s">
        <v>141</v>
      </c>
      <c r="H146" s="289">
        <v>6783887.8</v>
      </c>
      <c r="I146" s="284">
        <v>4042220.2</v>
      </c>
      <c r="J146" s="217">
        <f>K146-I146</f>
        <v>5957779.8</v>
      </c>
      <c r="K146" s="290">
        <v>10000000</v>
      </c>
      <c r="L146" s="291">
        <v>6000000</v>
      </c>
      <c r="M146" s="95"/>
      <c r="N146" s="100"/>
      <c r="O146" s="100"/>
      <c r="P146" s="95"/>
      <c r="Q146" s="115"/>
      <c r="S146" s="81"/>
    </row>
    <row r="147" spans="1:19" customHeight="1" ht="18" s="40" customFormat="1">
      <c r="A147" s="18" t="s">
        <v>75</v>
      </c>
      <c r="C147" s="57"/>
      <c r="D147" s="33"/>
      <c r="E147" s="33"/>
      <c r="F147" s="56"/>
      <c r="G147" s="223"/>
      <c r="H147" s="299">
        <f>SUM(H131:H146)</f>
        <v>17328551.02</v>
      </c>
      <c r="I147" s="299">
        <f>SUM(I131:I146)</f>
        <v>8026890.6</v>
      </c>
      <c r="J147" s="299">
        <f>SUM(J131:J146)</f>
        <v>22010759.4</v>
      </c>
      <c r="K147" s="299">
        <f>SUM(K131:K146)</f>
        <v>30037650</v>
      </c>
      <c r="L147" s="300">
        <f>SUM(L131:L146)</f>
        <v>16490000</v>
      </c>
      <c r="M147" s="95"/>
      <c r="N147" s="104"/>
      <c r="O147" s="104"/>
      <c r="P147" s="95"/>
      <c r="Q147" s="115"/>
      <c r="S147" s="81"/>
    </row>
    <row r="148" spans="1:19" customHeight="1" ht="18" s="40" customFormat="1">
      <c r="A148" s="263"/>
      <c r="B148" s="161"/>
      <c r="C148" s="162"/>
      <c r="D148" s="163"/>
      <c r="E148" s="163"/>
      <c r="F148" s="164"/>
      <c r="G148" s="227"/>
      <c r="H148" s="314"/>
      <c r="I148" s="314"/>
      <c r="J148" s="314"/>
      <c r="K148" s="314"/>
      <c r="L148" s="315"/>
      <c r="M148" s="95"/>
      <c r="N148" s="104"/>
      <c r="O148" s="104"/>
      <c r="P148" s="95"/>
      <c r="Q148" s="115"/>
      <c r="S148" s="81"/>
    </row>
    <row r="149" spans="1:19" customHeight="1" ht="17.1" s="22" customFormat="1">
      <c r="A149" s="59" t="s">
        <v>62</v>
      </c>
      <c r="B149" s="21"/>
      <c r="C149" s="21"/>
      <c r="D149" s="21"/>
      <c r="E149" s="21"/>
      <c r="F149" s="21"/>
      <c r="G149" s="181"/>
      <c r="H149" s="181"/>
      <c r="I149" s="181"/>
      <c r="J149" s="181"/>
      <c r="K149" s="181"/>
      <c r="L149" s="193"/>
      <c r="M149" s="93"/>
      <c r="N149" s="33"/>
      <c r="O149" s="33"/>
      <c r="P149" s="93"/>
      <c r="Q149" s="113"/>
      <c r="S149" s="82"/>
    </row>
    <row r="150" spans="1:19" customHeight="1" ht="17.1" s="40" customFormat="1">
      <c r="C150" s="42" t="s">
        <v>142</v>
      </c>
      <c r="D150" s="42"/>
      <c r="E150" s="33"/>
      <c r="F150" s="44"/>
      <c r="G150" s="223" t="s">
        <v>143</v>
      </c>
      <c r="H150" s="301">
        <v>9716282.56</v>
      </c>
      <c r="I150" s="301">
        <f>4895584+105120+117019+178784.9+3882.17</f>
        <v>5300390.07</v>
      </c>
      <c r="J150" s="295">
        <f>K150-I150</f>
        <v>23126959.93</v>
      </c>
      <c r="K150" s="301">
        <v>28427350</v>
      </c>
      <c r="L150" s="302">
        <f>SUM(F151:F164)</f>
        <v>25024440</v>
      </c>
      <c r="M150" s="95"/>
      <c r="N150" s="100"/>
      <c r="O150" s="100"/>
      <c r="P150" s="95"/>
      <c r="Q150" s="115"/>
      <c r="S150" s="81"/>
    </row>
    <row r="151" spans="1:19" customHeight="1" ht="17.1" s="40" customFormat="1">
      <c r="C151" s="57" t="s">
        <v>65</v>
      </c>
      <c r="D151" s="42"/>
      <c r="E151" s="33"/>
      <c r="F151" s="44">
        <v>10524440</v>
      </c>
      <c r="G151" s="223"/>
      <c r="H151" s="240"/>
      <c r="I151" s="240"/>
      <c r="J151" s="240"/>
      <c r="K151" s="240"/>
      <c r="L151" s="74"/>
      <c r="M151" s="95"/>
      <c r="N151" s="111"/>
      <c r="O151" s="100"/>
      <c r="P151" s="95"/>
      <c r="Q151" s="115"/>
      <c r="S151" s="81"/>
    </row>
    <row r="152" spans="1:19" customHeight="1" ht="17.1" s="40" customFormat="1">
      <c r="C152" s="57" t="s">
        <v>144</v>
      </c>
      <c r="D152" s="39"/>
      <c r="E152" s="43"/>
      <c r="F152" s="44">
        <v>8000000</v>
      </c>
      <c r="G152" s="223"/>
      <c r="H152" s="210"/>
      <c r="I152" s="230"/>
      <c r="J152" s="230"/>
      <c r="K152" s="235"/>
      <c r="L152" s="41"/>
      <c r="M152" s="95"/>
      <c r="N152" s="111"/>
      <c r="O152" s="100"/>
      <c r="P152" s="95"/>
      <c r="Q152" s="115"/>
      <c r="S152" s="81"/>
    </row>
    <row r="153" spans="1:19" customHeight="1" ht="17.1" s="40" customFormat="1">
      <c r="C153" s="57" t="s">
        <v>145</v>
      </c>
      <c r="D153" s="39"/>
      <c r="E153" s="43"/>
      <c r="F153" s="44">
        <v>200000</v>
      </c>
      <c r="G153" s="223"/>
      <c r="H153" s="210"/>
      <c r="I153" s="230"/>
      <c r="J153" s="230"/>
      <c r="K153" s="235"/>
      <c r="L153" s="41"/>
      <c r="M153" s="95"/>
      <c r="N153" s="100"/>
      <c r="O153" s="100"/>
      <c r="P153" s="95"/>
      <c r="Q153" s="115"/>
      <c r="S153" s="81"/>
    </row>
    <row r="154" spans="1:19" customHeight="1" ht="17.1" s="40" customFormat="1">
      <c r="C154" s="57" t="s">
        <v>146</v>
      </c>
      <c r="D154" s="39"/>
      <c r="E154" s="43"/>
      <c r="F154" s="44">
        <v>2000000</v>
      </c>
      <c r="G154" s="223"/>
      <c r="H154" s="210"/>
      <c r="I154" s="230"/>
      <c r="J154" s="230"/>
      <c r="K154" s="235"/>
      <c r="L154" s="41"/>
      <c r="M154" s="95"/>
      <c r="N154" s="111"/>
      <c r="O154" s="100"/>
      <c r="P154" s="95"/>
      <c r="Q154" s="115"/>
      <c r="S154" s="81"/>
    </row>
    <row r="155" spans="1:19" customHeight="1" ht="17.1" s="40" customFormat="1">
      <c r="C155" s="57" t="s">
        <v>147</v>
      </c>
      <c r="D155" s="39"/>
      <c r="E155" s="43"/>
      <c r="F155" s="44">
        <v>150000</v>
      </c>
      <c r="G155" s="223"/>
      <c r="H155" s="210"/>
      <c r="I155" s="230"/>
      <c r="J155" s="230"/>
      <c r="K155" s="235"/>
      <c r="L155" s="41"/>
      <c r="M155" s="95"/>
      <c r="N155" s="100"/>
      <c r="O155" s="100"/>
      <c r="P155" s="95"/>
      <c r="Q155" s="115"/>
      <c r="S155" s="81"/>
    </row>
    <row r="156" spans="1:19" customHeight="1" ht="17.1" s="40" customFormat="1">
      <c r="C156" s="57" t="s">
        <v>148</v>
      </c>
      <c r="D156" s="39"/>
      <c r="E156" s="43"/>
      <c r="F156" s="44">
        <v>150000</v>
      </c>
      <c r="G156" s="223"/>
      <c r="H156" s="210"/>
      <c r="I156" s="230"/>
      <c r="J156" s="230"/>
      <c r="K156" s="235"/>
      <c r="L156" s="41"/>
      <c r="M156" s="95"/>
      <c r="N156" s="100"/>
      <c r="O156" s="100"/>
      <c r="P156" s="95"/>
      <c r="Q156" s="115"/>
      <c r="S156" s="81"/>
    </row>
    <row r="157" spans="1:19" customHeight="1" ht="17.1" s="40" customFormat="1">
      <c r="C157" s="57" t="s">
        <v>149</v>
      </c>
      <c r="D157" s="39"/>
      <c r="E157" s="43"/>
      <c r="F157" s="44">
        <v>2200000</v>
      </c>
      <c r="G157" s="223"/>
      <c r="H157" s="210"/>
      <c r="I157" s="230"/>
      <c r="J157" s="230"/>
      <c r="K157" s="235"/>
      <c r="L157" s="41"/>
      <c r="M157" s="95"/>
      <c r="N157" s="100"/>
      <c r="O157" s="100"/>
      <c r="P157" s="95"/>
      <c r="Q157" s="115"/>
      <c r="S157" s="81"/>
    </row>
    <row r="158" spans="1:19" customHeight="1" ht="17.1" s="40" customFormat="1">
      <c r="C158" s="57" t="s">
        <v>66</v>
      </c>
      <c r="D158" s="33"/>
      <c r="E158" s="33"/>
      <c r="F158" s="75">
        <v>200000</v>
      </c>
      <c r="G158" s="223"/>
      <c r="H158" s="209"/>
      <c r="I158" s="230"/>
      <c r="J158" s="230"/>
      <c r="K158" s="209"/>
      <c r="L158" s="71"/>
      <c r="M158" s="95"/>
      <c r="N158" s="104"/>
      <c r="O158" s="104"/>
      <c r="P158" s="95"/>
      <c r="Q158" s="115"/>
      <c r="S158" s="81"/>
    </row>
    <row r="159" spans="1:19" customHeight="1" ht="17.1" s="40" customFormat="1">
      <c r="C159" s="57" t="s">
        <v>67</v>
      </c>
      <c r="D159" s="33"/>
      <c r="E159" s="33"/>
      <c r="F159" s="75">
        <v>500000</v>
      </c>
      <c r="G159" s="223"/>
      <c r="H159" s="209"/>
      <c r="I159" s="230"/>
      <c r="J159" s="230"/>
      <c r="K159" s="209"/>
      <c r="L159" s="71"/>
      <c r="M159" s="95"/>
      <c r="N159" s="104"/>
      <c r="O159" s="104"/>
      <c r="P159" s="95"/>
      <c r="Q159" s="115"/>
      <c r="S159" s="81"/>
    </row>
    <row r="160" spans="1:19" customHeight="1" ht="17.1" s="40" customFormat="1">
      <c r="C160" s="57" t="s">
        <v>78</v>
      </c>
      <c r="D160" s="33"/>
      <c r="E160" s="33"/>
      <c r="F160" s="75">
        <v>50000</v>
      </c>
      <c r="G160" s="223"/>
      <c r="H160" s="209"/>
      <c r="I160" s="230"/>
      <c r="J160" s="230"/>
      <c r="K160" s="209"/>
      <c r="L160" s="71"/>
      <c r="M160" s="95"/>
      <c r="N160" s="104"/>
      <c r="O160" s="104"/>
      <c r="P160" s="95"/>
      <c r="Q160" s="115"/>
      <c r="S160" s="81"/>
    </row>
    <row r="161" spans="1:19" customHeight="1" ht="17.1" s="40" customFormat="1">
      <c r="C161" s="57" t="s">
        <v>68</v>
      </c>
      <c r="D161" s="33"/>
      <c r="E161" s="33"/>
      <c r="F161" s="75">
        <v>650000</v>
      </c>
      <c r="G161" s="223"/>
      <c r="H161" s="209"/>
      <c r="I161" s="230"/>
      <c r="J161" s="230"/>
      <c r="K161" s="209"/>
      <c r="L161" s="71"/>
      <c r="M161" s="95"/>
      <c r="N161" s="104"/>
      <c r="O161" s="104"/>
      <c r="P161" s="95"/>
      <c r="Q161" s="115"/>
      <c r="S161" s="81"/>
    </row>
    <row r="162" spans="1:19" customHeight="1" ht="17.1" s="40" customFormat="1">
      <c r="C162" s="57" t="s">
        <v>69</v>
      </c>
      <c r="D162" s="33"/>
      <c r="E162" s="33"/>
      <c r="F162" s="75">
        <v>200000</v>
      </c>
      <c r="G162" s="223"/>
      <c r="H162" s="209"/>
      <c r="I162" s="230"/>
      <c r="J162" s="230"/>
      <c r="K162" s="209"/>
      <c r="L162" s="71"/>
      <c r="M162" s="95"/>
      <c r="N162" s="104"/>
      <c r="O162" s="104"/>
      <c r="P162" s="95"/>
      <c r="Q162" s="115"/>
      <c r="S162" s="81"/>
    </row>
    <row r="163" spans="1:19" customHeight="1" ht="17.1" s="40" customFormat="1">
      <c r="C163" s="57" t="s">
        <v>70</v>
      </c>
      <c r="D163" s="33"/>
      <c r="E163" s="33"/>
      <c r="F163" s="75">
        <v>100000</v>
      </c>
      <c r="G163" s="223"/>
      <c r="H163" s="209"/>
      <c r="I163" s="230"/>
      <c r="J163" s="230"/>
      <c r="K163" s="209"/>
      <c r="L163" s="71"/>
      <c r="M163" s="95"/>
      <c r="N163" s="104"/>
      <c r="O163" s="104"/>
      <c r="P163" s="95"/>
      <c r="Q163" s="115"/>
      <c r="S163" s="81"/>
    </row>
    <row r="164" spans="1:19" customHeight="1" ht="17.1" s="40" customFormat="1">
      <c r="C164" s="57" t="s">
        <v>71</v>
      </c>
      <c r="D164" s="33"/>
      <c r="E164" s="33"/>
      <c r="F164" s="76">
        <v>100000</v>
      </c>
      <c r="G164" s="223"/>
      <c r="H164" s="225">
        <v>0</v>
      </c>
      <c r="I164" s="284">
        <v>0</v>
      </c>
      <c r="J164" s="284">
        <v>0</v>
      </c>
      <c r="K164" s="225">
        <v>0</v>
      </c>
      <c r="L164" s="192">
        <v>0</v>
      </c>
      <c r="M164" s="95"/>
      <c r="N164" s="104"/>
      <c r="O164" s="104"/>
      <c r="P164" s="95"/>
      <c r="Q164" s="115"/>
      <c r="S164" s="81"/>
    </row>
    <row r="165" spans="1:19" customHeight="1" ht="17.1" s="65" customFormat="1">
      <c r="A165" s="18" t="s">
        <v>75</v>
      </c>
      <c r="B165" s="18"/>
      <c r="C165" s="61"/>
      <c r="D165" s="62"/>
      <c r="E165" s="63"/>
      <c r="F165" s="64"/>
      <c r="G165" s="232"/>
      <c r="H165" s="299">
        <f>SUM(H150:H164)</f>
        <v>9716282.56</v>
      </c>
      <c r="I165" s="299">
        <f>SUM(I150:I164)</f>
        <v>5300390.07</v>
      </c>
      <c r="J165" s="299">
        <f>SUM(J150:J164)</f>
        <v>23126959.93</v>
      </c>
      <c r="K165" s="299">
        <f>SUM(K150:K164)</f>
        <v>28427350</v>
      </c>
      <c r="L165" s="300">
        <f>SUM(L150:L164)</f>
        <v>25024440</v>
      </c>
      <c r="M165" s="128"/>
      <c r="N165" s="132"/>
      <c r="O165" s="105"/>
      <c r="P165" s="96"/>
      <c r="Q165" s="120"/>
      <c r="S165" s="84"/>
    </row>
    <row r="166" spans="1:19" customHeight="1" ht="17.1" s="65" customFormat="1">
      <c r="A166" s="18"/>
      <c r="B166" s="18"/>
      <c r="C166" s="61"/>
      <c r="D166" s="62"/>
      <c r="E166" s="63"/>
      <c r="F166" s="64"/>
      <c r="G166" s="232"/>
      <c r="H166" s="226"/>
      <c r="I166" s="226"/>
      <c r="J166" s="226"/>
      <c r="K166" s="226"/>
      <c r="L166" s="80"/>
      <c r="M166" s="128"/>
      <c r="N166" s="132"/>
      <c r="O166" s="105"/>
      <c r="P166" s="96"/>
      <c r="Q166" s="120"/>
      <c r="S166" s="84"/>
    </row>
    <row r="167" spans="1:19" customHeight="1" ht="15" s="40" customFormat="1">
      <c r="A167" s="161"/>
      <c r="B167" s="161"/>
      <c r="C167" s="170"/>
      <c r="D167" s="166"/>
      <c r="E167" s="167"/>
      <c r="F167" s="168"/>
      <c r="G167" s="227"/>
      <c r="H167" s="233"/>
      <c r="I167" s="233"/>
      <c r="J167" s="233"/>
      <c r="K167" s="234"/>
      <c r="L167" s="169"/>
      <c r="M167" s="95"/>
      <c r="N167" s="100"/>
      <c r="O167" s="100"/>
      <c r="P167" s="95"/>
      <c r="Q167" s="115"/>
      <c r="S167" s="81"/>
    </row>
    <row r="168" spans="1:19" customHeight="1" ht="15" s="40" customFormat="1">
      <c r="A168" s="265"/>
      <c r="B168" s="265"/>
      <c r="C168" s="266"/>
      <c r="D168" s="267"/>
      <c r="E168" s="268"/>
      <c r="F168" s="269"/>
      <c r="G168" s="270"/>
      <c r="H168" s="271"/>
      <c r="I168" s="271"/>
      <c r="J168" s="271"/>
      <c r="K168" s="272"/>
      <c r="L168" s="272"/>
      <c r="M168" s="95"/>
      <c r="N168" s="100"/>
      <c r="O168" s="100"/>
      <c r="P168" s="95"/>
      <c r="Q168" s="115"/>
      <c r="S168" s="81"/>
    </row>
    <row r="169" spans="1:19" customHeight="1" ht="15.95" s="22" customFormat="1">
      <c r="A169" s="59" t="s">
        <v>62</v>
      </c>
      <c r="B169" s="21"/>
      <c r="C169" s="21"/>
      <c r="D169" s="21"/>
      <c r="E169" s="21"/>
      <c r="F169" s="21"/>
      <c r="G169" s="181"/>
      <c r="H169" s="181"/>
      <c r="I169" s="181"/>
      <c r="J169" s="181"/>
      <c r="K169" s="181"/>
      <c r="L169" s="193"/>
      <c r="M169" s="93"/>
      <c r="N169" s="33"/>
      <c r="O169" s="33"/>
      <c r="P169" s="93"/>
      <c r="Q169" s="113"/>
      <c r="S169" s="82"/>
    </row>
    <row r="170" spans="1:19" customHeight="1" ht="15.95" s="10" customFormat="1">
      <c r="A170" s="2"/>
      <c r="B170" s="2"/>
      <c r="C170" s="5" t="s">
        <v>150</v>
      </c>
      <c r="D170" s="9"/>
      <c r="E170" s="9"/>
      <c r="F170" s="30"/>
      <c r="G170" s="213" t="s">
        <v>107</v>
      </c>
      <c r="H170" s="254">
        <v>69816044.52</v>
      </c>
      <c r="I170" s="254">
        <f>5000+166000+134400+2042750+31863937.17+63400+1917100+33000+412528.03+110187.07+3543612.5</f>
        <v>40291914.77</v>
      </c>
      <c r="J170" s="295">
        <f>K170-I170</f>
        <v>32641785.23</v>
      </c>
      <c r="K170" s="303">
        <v>72933700</v>
      </c>
      <c r="L170" s="304">
        <f>SUM(F171:F181)</f>
        <v>31990244.07</v>
      </c>
      <c r="M170" s="129"/>
      <c r="N170" s="133"/>
      <c r="O170" s="107"/>
      <c r="P170" s="98"/>
      <c r="Q170" s="123"/>
      <c r="S170" s="89"/>
    </row>
    <row r="171" spans="1:19" customHeight="1" ht="15.95" s="10" customFormat="1">
      <c r="A171" s="2"/>
      <c r="B171" s="2"/>
      <c r="C171" s="28" t="s">
        <v>151</v>
      </c>
      <c r="D171" s="9"/>
      <c r="E171" s="9"/>
      <c r="F171" s="45">
        <v>200000</v>
      </c>
      <c r="G171" s="213"/>
      <c r="H171" s="236"/>
      <c r="I171" s="288"/>
      <c r="J171" s="288"/>
      <c r="K171" s="236"/>
      <c r="L171" s="25"/>
      <c r="M171" s="129"/>
      <c r="N171" s="134"/>
      <c r="O171" s="108"/>
      <c r="P171" s="98"/>
      <c r="Q171" s="123"/>
      <c r="S171" s="89"/>
    </row>
    <row r="172" spans="1:19" customHeight="1" ht="15.95" s="10" customFormat="1">
      <c r="A172" s="2"/>
      <c r="B172" s="2"/>
      <c r="C172" s="28" t="s">
        <v>152</v>
      </c>
      <c r="D172" s="9"/>
      <c r="E172" s="9"/>
      <c r="F172" s="45">
        <v>200000</v>
      </c>
      <c r="G172" s="238"/>
      <c r="H172" s="236"/>
      <c r="I172" s="288"/>
      <c r="J172" s="288"/>
      <c r="K172" s="236"/>
      <c r="L172" s="25"/>
      <c r="M172" s="129"/>
      <c r="N172" s="135"/>
      <c r="O172" s="79"/>
      <c r="P172" s="98"/>
      <c r="Q172" s="123"/>
      <c r="S172" s="89"/>
    </row>
    <row r="173" spans="1:19" customHeight="1" ht="15.95" s="10" customFormat="1">
      <c r="A173" s="2"/>
      <c r="B173" s="2"/>
      <c r="C173" s="28" t="s">
        <v>153</v>
      </c>
      <c r="D173" s="5"/>
      <c r="E173" s="9"/>
      <c r="F173" s="45">
        <v>250000</v>
      </c>
      <c r="G173" s="238"/>
      <c r="H173" s="236"/>
      <c r="I173" s="288"/>
      <c r="J173" s="288"/>
      <c r="K173" s="236"/>
      <c r="L173" s="25"/>
      <c r="M173" s="129"/>
      <c r="N173" s="135"/>
      <c r="O173" s="79"/>
      <c r="P173" s="98"/>
      <c r="Q173" s="123"/>
      <c r="S173" s="89"/>
    </row>
    <row r="174" spans="1:19" customHeight="1" ht="15.95" s="10" customFormat="1">
      <c r="A174" s="2"/>
      <c r="B174" s="2"/>
      <c r="C174" s="28" t="s">
        <v>154</v>
      </c>
      <c r="D174" s="29"/>
      <c r="E174" s="27"/>
      <c r="F174" s="45">
        <v>2500000</v>
      </c>
      <c r="G174" s="238"/>
      <c r="H174" s="214"/>
      <c r="I174" s="257"/>
      <c r="J174" s="257"/>
      <c r="K174" s="236"/>
      <c r="L174" s="25"/>
      <c r="M174" s="129"/>
      <c r="N174" s="135"/>
      <c r="O174" s="79"/>
      <c r="P174" s="98"/>
      <c r="Q174" s="123"/>
      <c r="S174" s="89"/>
    </row>
    <row r="175" spans="1:19" customHeight="1" ht="15.95" s="10" customFormat="1">
      <c r="A175" s="2"/>
      <c r="B175" s="2"/>
      <c r="C175" s="28" t="s">
        <v>155</v>
      </c>
      <c r="D175" s="29"/>
      <c r="E175" s="27"/>
      <c r="F175" s="45">
        <v>18276244.07</v>
      </c>
      <c r="G175" s="238"/>
      <c r="H175" s="214"/>
      <c r="I175" s="257"/>
      <c r="J175" s="257"/>
      <c r="K175" s="236"/>
      <c r="L175" s="25"/>
      <c r="M175" s="129"/>
      <c r="N175" s="135"/>
      <c r="O175" s="79"/>
      <c r="P175" s="98"/>
      <c r="Q175" s="123"/>
      <c r="R175" s="60"/>
      <c r="S175" s="89"/>
    </row>
    <row r="176" spans="1:19" customHeight="1" ht="15.95" s="40" customFormat="1">
      <c r="C176" s="57" t="s">
        <v>66</v>
      </c>
      <c r="D176" s="33"/>
      <c r="E176" s="33"/>
      <c r="F176" s="75">
        <v>500000</v>
      </c>
      <c r="G176" s="223"/>
      <c r="H176" s="209"/>
      <c r="I176" s="230"/>
      <c r="J176" s="230"/>
      <c r="K176" s="209"/>
      <c r="L176" s="71"/>
      <c r="M176" s="95"/>
      <c r="N176" s="104"/>
      <c r="O176" s="104"/>
      <c r="P176" s="95"/>
      <c r="Q176" s="115"/>
      <c r="S176" s="81"/>
    </row>
    <row r="177" spans="1:19" customHeight="1" ht="15.95" s="40" customFormat="1">
      <c r="C177" s="57" t="s">
        <v>67</v>
      </c>
      <c r="D177" s="33"/>
      <c r="E177" s="33"/>
      <c r="F177" s="75">
        <v>3500000</v>
      </c>
      <c r="G177" s="223"/>
      <c r="H177" s="209"/>
      <c r="I177" s="230"/>
      <c r="J177" s="230"/>
      <c r="K177" s="209"/>
      <c r="L177" s="71"/>
      <c r="M177" s="95"/>
      <c r="N177" s="104"/>
      <c r="O177" s="104"/>
      <c r="P177" s="95"/>
      <c r="Q177" s="115"/>
      <c r="S177" s="81"/>
    </row>
    <row r="178" spans="1:19" customHeight="1" ht="15.95" s="40" customFormat="1">
      <c r="C178" s="57" t="s">
        <v>78</v>
      </c>
      <c r="D178" s="33"/>
      <c r="E178" s="33"/>
      <c r="F178" s="75">
        <v>364000</v>
      </c>
      <c r="G178" s="223"/>
      <c r="H178" s="209"/>
      <c r="I178" s="230"/>
      <c r="J178" s="230"/>
      <c r="K178" s="209"/>
      <c r="L178" s="71"/>
      <c r="M178" s="95"/>
      <c r="N178" s="104"/>
      <c r="O178" s="104"/>
      <c r="P178" s="95"/>
      <c r="Q178" s="115"/>
      <c r="S178" s="81"/>
    </row>
    <row r="179" spans="1:19" customHeight="1" ht="15.95" s="40" customFormat="1">
      <c r="C179" s="57" t="s">
        <v>68</v>
      </c>
      <c r="D179" s="33"/>
      <c r="E179" s="33"/>
      <c r="F179" s="75">
        <v>500000</v>
      </c>
      <c r="G179" s="223"/>
      <c r="H179" s="209"/>
      <c r="I179" s="230"/>
      <c r="J179" s="230"/>
      <c r="K179" s="209"/>
      <c r="L179" s="71"/>
      <c r="M179" s="95"/>
      <c r="N179" s="104"/>
      <c r="O179" s="104"/>
      <c r="P179" s="95"/>
      <c r="Q179" s="115"/>
      <c r="S179" s="81"/>
    </row>
    <row r="180" spans="1:19" customHeight="1" ht="15.95" s="40" customFormat="1">
      <c r="C180" s="57" t="s">
        <v>70</v>
      </c>
      <c r="D180" s="33"/>
      <c r="E180" s="33"/>
      <c r="F180" s="75">
        <v>200000</v>
      </c>
      <c r="G180" s="223"/>
      <c r="H180" s="209"/>
      <c r="I180" s="230"/>
      <c r="J180" s="230"/>
      <c r="K180" s="209"/>
      <c r="L180" s="71"/>
      <c r="M180" s="95"/>
      <c r="N180" s="104"/>
      <c r="O180" s="104"/>
      <c r="P180" s="127"/>
      <c r="Q180" s="115"/>
      <c r="S180" s="81"/>
    </row>
    <row r="181" spans="1:19" customHeight="1" ht="15.95" s="40" customFormat="1">
      <c r="C181" s="57" t="s">
        <v>71</v>
      </c>
      <c r="D181" s="33"/>
      <c r="E181" s="33"/>
      <c r="F181" s="76">
        <v>5500000</v>
      </c>
      <c r="G181" s="223"/>
      <c r="H181" s="209"/>
      <c r="I181" s="230"/>
      <c r="J181" s="230"/>
      <c r="K181" s="209"/>
      <c r="L181" s="71"/>
      <c r="M181" s="95"/>
      <c r="N181" s="104"/>
      <c r="O181" s="104"/>
      <c r="P181" s="95"/>
      <c r="Q181" s="115"/>
      <c r="S181" s="81"/>
    </row>
    <row r="182" spans="1:19" customHeight="1" ht="15.95" s="10" customFormat="1">
      <c r="A182" s="2"/>
      <c r="B182" s="2"/>
      <c r="C182" s="5" t="s">
        <v>156</v>
      </c>
      <c r="D182" s="29"/>
      <c r="E182" s="27"/>
      <c r="F182" s="45"/>
      <c r="G182" s="238" t="s">
        <v>157</v>
      </c>
      <c r="H182" s="214">
        <v>3614631.25</v>
      </c>
      <c r="I182" s="257">
        <f>959509.58+248825</f>
        <v>1208334.58</v>
      </c>
      <c r="J182" s="210">
        <f>K182-I182</f>
        <v>1391665.42</v>
      </c>
      <c r="K182" s="236">
        <v>2600000</v>
      </c>
      <c r="L182" s="25">
        <f>SUM(F183:F184)</f>
        <v>2000000</v>
      </c>
      <c r="M182" s="129"/>
      <c r="N182" s="135"/>
      <c r="O182" s="79"/>
      <c r="P182" s="129"/>
      <c r="Q182" s="142"/>
      <c r="R182" s="135"/>
      <c r="S182" s="89"/>
    </row>
    <row r="183" spans="1:19" customHeight="1" ht="15.95" s="10" customFormat="1">
      <c r="A183" s="2"/>
      <c r="B183" s="2"/>
      <c r="C183" s="28" t="s">
        <v>158</v>
      </c>
      <c r="D183" s="29"/>
      <c r="E183" s="27"/>
      <c r="F183" s="45">
        <v>1500000</v>
      </c>
      <c r="G183" s="238"/>
      <c r="H183" s="241"/>
      <c r="I183" s="292"/>
      <c r="J183" s="292"/>
      <c r="K183" s="242"/>
      <c r="L183" s="195"/>
      <c r="M183" s="129"/>
      <c r="N183" s="135"/>
      <c r="O183" s="79"/>
      <c r="P183" s="129"/>
      <c r="Q183" s="142"/>
      <c r="R183" s="135"/>
      <c r="S183" s="89"/>
    </row>
    <row r="184" spans="1:19" customHeight="1" ht="15.95" s="10" customFormat="1">
      <c r="A184" s="2"/>
      <c r="B184" s="2"/>
      <c r="C184" s="28" t="s">
        <v>159</v>
      </c>
      <c r="D184" s="29"/>
      <c r="E184" s="27"/>
      <c r="F184" s="46">
        <v>500000</v>
      </c>
      <c r="G184" s="238"/>
      <c r="H184" s="241">
        <v>0</v>
      </c>
      <c r="I184" s="292">
        <v>0</v>
      </c>
      <c r="J184" s="292">
        <v>0</v>
      </c>
      <c r="K184" s="242">
        <v>0</v>
      </c>
      <c r="L184" s="195">
        <v>0</v>
      </c>
      <c r="M184" s="129"/>
      <c r="N184" s="135"/>
      <c r="O184" s="79"/>
      <c r="P184" s="129"/>
      <c r="Q184" s="142"/>
      <c r="R184" s="135"/>
      <c r="S184" s="89"/>
    </row>
    <row r="185" spans="1:19" customHeight="1" ht="15.95" s="65" customFormat="1">
      <c r="A185" s="18" t="s">
        <v>75</v>
      </c>
      <c r="B185" s="18"/>
      <c r="C185" s="61"/>
      <c r="D185" s="62"/>
      <c r="E185" s="63"/>
      <c r="F185" s="64"/>
      <c r="G185" s="232"/>
      <c r="H185" s="299">
        <f>SUM(H170:H184)</f>
        <v>73430675.77</v>
      </c>
      <c r="I185" s="299">
        <f>SUM(I170:I184)</f>
        <v>41500249.35</v>
      </c>
      <c r="J185" s="299">
        <f>SUM(J170:J184)</f>
        <v>34033450.65</v>
      </c>
      <c r="K185" s="299">
        <f>SUM(K170:K184)</f>
        <v>75533700</v>
      </c>
      <c r="L185" s="300">
        <f>SUM(L170:L184)</f>
        <v>33990244.07</v>
      </c>
      <c r="M185" s="128"/>
      <c r="N185" s="136"/>
      <c r="O185" s="109"/>
      <c r="P185" s="128"/>
      <c r="Q185" s="143"/>
      <c r="R185" s="138"/>
      <c r="S185" s="84"/>
    </row>
    <row r="186" spans="1:19" customHeight="1" ht="15.95" s="10" customFormat="1">
      <c r="A186" s="18" t="s">
        <v>160</v>
      </c>
      <c r="B186" s="18"/>
      <c r="C186" s="28"/>
      <c r="D186" s="29"/>
      <c r="E186" s="27"/>
      <c r="F186" s="46"/>
      <c r="G186" s="238"/>
      <c r="H186" s="299">
        <f>H185+H165+H147+H128+H102+H81+H57</f>
        <v>161522023.19</v>
      </c>
      <c r="I186" s="299">
        <f>I185+I165+I147+I128+I102+I81+I57</f>
        <v>79336132.93</v>
      </c>
      <c r="J186" s="299">
        <f>J185+J165+J147+J128+J102+J81+J57</f>
        <v>147288907.49</v>
      </c>
      <c r="K186" s="299">
        <f>K185+K165+K147+K128+K102+K81+K57</f>
        <v>226625040.42</v>
      </c>
      <c r="L186" s="300">
        <f>L185+L165+L147+L128+L102+L81+L57</f>
        <v>151503684.07</v>
      </c>
      <c r="M186" s="129"/>
      <c r="N186" s="134"/>
      <c r="O186" s="79"/>
      <c r="P186" s="129"/>
      <c r="Q186" s="142"/>
      <c r="R186" s="135"/>
      <c r="S186" s="89"/>
    </row>
    <row r="187" spans="1:19" customHeight="1" ht="15.95" s="10" customFormat="1">
      <c r="A187" s="6" t="s">
        <v>161</v>
      </c>
      <c r="B187" s="6"/>
      <c r="C187" s="6"/>
      <c r="D187" s="6"/>
      <c r="E187" s="6"/>
      <c r="F187" s="6"/>
      <c r="G187" s="243"/>
      <c r="H187" s="299">
        <f>H186+H38</f>
        <v>207505721.19</v>
      </c>
      <c r="I187" s="299">
        <f>I186+I38</f>
        <v>109248882.59</v>
      </c>
      <c r="J187" s="299">
        <f>J186+J38</f>
        <v>194309280.87</v>
      </c>
      <c r="K187" s="299">
        <f>K186+K38</f>
        <v>303558163.46</v>
      </c>
      <c r="L187" s="300">
        <f>L186+L38</f>
        <v>195538238.92</v>
      </c>
      <c r="M187" s="129"/>
      <c r="N187" s="134"/>
      <c r="O187" s="79"/>
      <c r="P187" s="129"/>
      <c r="Q187" s="142"/>
      <c r="R187" s="135"/>
      <c r="S187" s="89"/>
    </row>
    <row r="188" spans="1:19" customHeight="1" ht="15.95" s="10" customFormat="1">
      <c r="A188" s="6"/>
      <c r="B188" s="6"/>
      <c r="C188" s="6"/>
      <c r="D188" s="6"/>
      <c r="E188" s="6"/>
      <c r="F188" s="6"/>
      <c r="G188" s="243"/>
      <c r="H188" s="226"/>
      <c r="I188" s="226"/>
      <c r="J188" s="226"/>
      <c r="K188" s="226"/>
      <c r="L188" s="80"/>
      <c r="M188" s="129"/>
      <c r="N188" s="134"/>
      <c r="O188" s="79"/>
      <c r="P188" s="129"/>
      <c r="Q188" s="142"/>
      <c r="R188" s="135"/>
      <c r="S188" s="89"/>
    </row>
    <row r="189" spans="1:19" customHeight="1" ht="15.95" s="10" customFormat="1">
      <c r="A189" s="279"/>
      <c r="B189" s="279"/>
      <c r="C189" s="279"/>
      <c r="D189" s="279"/>
      <c r="E189" s="279"/>
      <c r="F189" s="279"/>
      <c r="G189" s="283"/>
      <c r="H189" s="281"/>
      <c r="I189" s="281"/>
      <c r="J189" s="281"/>
      <c r="K189" s="281"/>
      <c r="L189" s="281"/>
      <c r="M189" s="129"/>
      <c r="N189" s="135"/>
      <c r="O189" s="79"/>
      <c r="P189" s="129"/>
      <c r="Q189" s="142"/>
      <c r="R189" s="135"/>
      <c r="S189" s="89"/>
    </row>
    <row r="190" spans="1:19" customHeight="1" ht="20.1" s="10" customFormat="1">
      <c r="A190" s="6"/>
      <c r="B190" s="6"/>
      <c r="C190" s="6"/>
      <c r="D190" s="6"/>
      <c r="E190" s="6"/>
      <c r="F190" s="6"/>
      <c r="G190" s="243"/>
      <c r="H190" s="226"/>
      <c r="I190" s="226"/>
      <c r="J190" s="226"/>
      <c r="K190" s="226"/>
      <c r="L190" s="80"/>
      <c r="M190" s="129"/>
      <c r="N190" s="135"/>
      <c r="O190" s="79"/>
      <c r="P190" s="129"/>
      <c r="Q190" s="142"/>
      <c r="R190" s="135"/>
      <c r="S190" s="89"/>
    </row>
    <row r="191" spans="1:19" customHeight="1" ht="20.1" s="3" customFormat="1">
      <c r="A191" s="58" t="s">
        <v>162</v>
      </c>
      <c r="B191" s="58"/>
      <c r="C191" s="24"/>
      <c r="D191" s="14"/>
      <c r="E191" s="14"/>
      <c r="F191" s="14"/>
      <c r="G191" s="244"/>
      <c r="H191" s="245"/>
      <c r="I191" s="245"/>
      <c r="J191" s="245"/>
      <c r="K191" s="231"/>
      <c r="L191" s="23"/>
      <c r="M191" s="130"/>
      <c r="N191" s="141"/>
      <c r="O191" s="110"/>
      <c r="P191" s="130"/>
      <c r="Q191" s="144"/>
      <c r="R191" s="137"/>
      <c r="S191" s="90"/>
    </row>
    <row r="192" spans="1:19" customHeight="1" ht="20.1" s="3" customFormat="1">
      <c r="A192" s="24"/>
      <c r="B192" s="24"/>
      <c r="C192" s="9" t="s">
        <v>163</v>
      </c>
      <c r="D192" s="14"/>
      <c r="E192" s="14"/>
      <c r="F192" s="14"/>
      <c r="G192" s="213" t="s">
        <v>164</v>
      </c>
      <c r="H192" s="305">
        <v>606610</v>
      </c>
      <c r="I192" s="305">
        <f>62990</f>
        <v>62990</v>
      </c>
      <c r="J192" s="295">
        <f>K192-I192</f>
        <v>867010</v>
      </c>
      <c r="K192" s="254">
        <v>930000</v>
      </c>
      <c r="L192" s="306">
        <f>SUM(F193:F195)</f>
        <v>130000</v>
      </c>
      <c r="M192" s="134"/>
      <c r="N192" s="134"/>
      <c r="O192" s="110"/>
      <c r="P192" s="130"/>
      <c r="Q192" s="144"/>
      <c r="R192" s="137"/>
      <c r="S192" s="90"/>
    </row>
    <row r="193" spans="1:19" customHeight="1" ht="20.1" s="3" customFormat="1">
      <c r="A193" s="24"/>
      <c r="B193" s="24"/>
      <c r="C193" s="57" t="s">
        <v>65</v>
      </c>
      <c r="D193" s="14"/>
      <c r="E193" s="14"/>
      <c r="F193" s="75">
        <v>100000</v>
      </c>
      <c r="G193" s="213"/>
      <c r="H193" s="245"/>
      <c r="I193" s="293"/>
      <c r="J193" s="293"/>
      <c r="K193" s="246"/>
      <c r="L193" s="196"/>
      <c r="M193" s="134"/>
      <c r="N193" s="134"/>
      <c r="O193" s="110"/>
      <c r="P193" s="130"/>
      <c r="Q193" s="144"/>
      <c r="R193" s="137"/>
      <c r="S193" s="90"/>
    </row>
    <row r="194" spans="1:19" customHeight="1" ht="20.1" s="40" customFormat="1">
      <c r="C194" s="57" t="s">
        <v>67</v>
      </c>
      <c r="D194" s="33"/>
      <c r="E194" s="33"/>
      <c r="F194" s="75">
        <v>15000</v>
      </c>
      <c r="G194" s="223"/>
      <c r="H194" s="209"/>
      <c r="I194" s="230"/>
      <c r="J194" s="230"/>
      <c r="K194" s="209"/>
      <c r="L194" s="71"/>
      <c r="M194" s="134"/>
      <c r="N194" s="134"/>
      <c r="O194" s="104"/>
      <c r="P194" s="95"/>
      <c r="Q194" s="145"/>
      <c r="R194" s="100"/>
      <c r="S194" s="81"/>
    </row>
    <row r="195" spans="1:19" customHeight="1" ht="20.1" s="40" customFormat="1">
      <c r="C195" s="57" t="s">
        <v>165</v>
      </c>
      <c r="D195" s="33"/>
      <c r="E195" s="33"/>
      <c r="F195" s="76">
        <v>15000</v>
      </c>
      <c r="G195" s="223"/>
      <c r="H195" s="209"/>
      <c r="I195" s="230"/>
      <c r="J195" s="230"/>
      <c r="K195" s="209"/>
      <c r="L195" s="71"/>
      <c r="M195" s="134"/>
      <c r="N195" s="134"/>
      <c r="O195" s="104"/>
      <c r="P195" s="95"/>
      <c r="Q195" s="145"/>
      <c r="R195" s="100"/>
      <c r="S195" s="81"/>
    </row>
    <row r="196" spans="1:19" customHeight="1" ht="20.1" s="2" customFormat="1">
      <c r="C196" s="9" t="s">
        <v>166</v>
      </c>
      <c r="D196" s="15"/>
      <c r="E196" s="15"/>
      <c r="F196" s="15"/>
      <c r="G196" s="213" t="s">
        <v>167</v>
      </c>
      <c r="H196" s="247">
        <v>179689</v>
      </c>
      <c r="I196" s="257">
        <f>163548</f>
        <v>163548</v>
      </c>
      <c r="J196" s="210">
        <f>K196-I196</f>
        <v>1406452</v>
      </c>
      <c r="K196" s="248">
        <v>1570000</v>
      </c>
      <c r="L196" s="197">
        <f>SUM(F197:F199)</f>
        <v>540000</v>
      </c>
      <c r="M196" s="134"/>
      <c r="N196" s="134"/>
      <c r="O196" s="101"/>
      <c r="P196" s="95"/>
      <c r="Q196" s="116"/>
      <c r="S196" s="81"/>
    </row>
    <row r="197" spans="1:19" customHeight="1" ht="20.1" s="3" customFormat="1">
      <c r="A197" s="24"/>
      <c r="B197" s="24"/>
      <c r="C197" s="57" t="s">
        <v>65</v>
      </c>
      <c r="D197" s="14"/>
      <c r="E197" s="14"/>
      <c r="F197" s="75">
        <f>40000+460000</f>
        <v>500000</v>
      </c>
      <c r="G197" s="213"/>
      <c r="H197" s="245"/>
      <c r="I197" s="293"/>
      <c r="J197" s="293"/>
      <c r="K197" s="246"/>
      <c r="L197" s="196"/>
      <c r="M197" s="134"/>
      <c r="N197" s="134"/>
      <c r="O197" s="110"/>
      <c r="P197" s="99"/>
      <c r="Q197" s="124"/>
      <c r="S197" s="90"/>
    </row>
    <row r="198" spans="1:19" customHeight="1" ht="20.1" s="40" customFormat="1">
      <c r="C198" s="57" t="s">
        <v>67</v>
      </c>
      <c r="D198" s="33"/>
      <c r="E198" s="33"/>
      <c r="F198" s="75">
        <v>20000</v>
      </c>
      <c r="G198" s="223"/>
      <c r="H198" s="209"/>
      <c r="I198" s="230"/>
      <c r="J198" s="230"/>
      <c r="K198" s="209"/>
      <c r="L198" s="71"/>
      <c r="M198" s="134"/>
      <c r="N198" s="134"/>
      <c r="O198" s="104"/>
      <c r="P198" s="95"/>
      <c r="Q198" s="115"/>
      <c r="S198" s="81"/>
    </row>
    <row r="199" spans="1:19" customHeight="1" ht="20.1" s="40" customFormat="1">
      <c r="C199" s="57" t="s">
        <v>165</v>
      </c>
      <c r="D199" s="33"/>
      <c r="E199" s="33"/>
      <c r="F199" s="76">
        <v>20000</v>
      </c>
      <c r="G199" s="223"/>
      <c r="H199" s="209"/>
      <c r="I199" s="230"/>
      <c r="J199" s="230"/>
      <c r="K199" s="209"/>
      <c r="L199" s="71"/>
      <c r="M199" s="134"/>
      <c r="N199" s="134"/>
      <c r="O199" s="104"/>
      <c r="P199" s="95"/>
      <c r="Q199" s="115"/>
      <c r="S199" s="81"/>
    </row>
    <row r="200" spans="1:19" customHeight="1" ht="20.1" s="2" customFormat="1">
      <c r="C200" s="9" t="s">
        <v>168</v>
      </c>
      <c r="D200" s="26"/>
      <c r="E200" s="15"/>
      <c r="F200" s="15"/>
      <c r="G200" s="213" t="s">
        <v>169</v>
      </c>
      <c r="H200" s="249"/>
      <c r="I200" s="257">
        <v>0</v>
      </c>
      <c r="J200" s="214">
        <f>K200-I200</f>
        <v>2000000</v>
      </c>
      <c r="K200" s="250">
        <v>2000000</v>
      </c>
      <c r="L200" s="198">
        <v>4000000</v>
      </c>
      <c r="M200" s="95"/>
      <c r="N200" s="101"/>
      <c r="O200" s="101"/>
      <c r="P200" s="95"/>
      <c r="Q200" s="116"/>
      <c r="S200" s="81"/>
    </row>
    <row r="201" spans="1:19" customHeight="1" ht="20.1" s="2" customFormat="1">
      <c r="C201" s="9" t="s">
        <v>170</v>
      </c>
      <c r="D201" s="26"/>
      <c r="E201" s="15"/>
      <c r="F201" s="15"/>
      <c r="G201" s="213" t="s">
        <v>171</v>
      </c>
      <c r="H201" s="251">
        <v>400760</v>
      </c>
      <c r="I201" s="292">
        <f>36856</f>
        <v>36856</v>
      </c>
      <c r="J201" s="241">
        <f>K201-I201</f>
        <v>1973144</v>
      </c>
      <c r="K201" s="252">
        <v>2010000</v>
      </c>
      <c r="L201" s="199">
        <v>1500000</v>
      </c>
      <c r="M201" s="95"/>
      <c r="N201" s="101"/>
      <c r="O201" s="101"/>
      <c r="P201" s="95"/>
      <c r="Q201" s="116"/>
      <c r="S201" s="81"/>
    </row>
    <row r="202" spans="1:19" customHeight="1" ht="20.1" s="4" customFormat="1">
      <c r="A202" s="6" t="s">
        <v>172</v>
      </c>
      <c r="B202" s="6"/>
      <c r="C202" s="6"/>
      <c r="D202" s="6"/>
      <c r="E202" s="6"/>
      <c r="F202" s="6"/>
      <c r="G202" s="253"/>
      <c r="H202" s="299">
        <f>SUM(H192:H201)</f>
        <v>1187059</v>
      </c>
      <c r="I202" s="299">
        <f>SUM(I192:I201)</f>
        <v>263394</v>
      </c>
      <c r="J202" s="299">
        <f>SUM(J192:J201)</f>
        <v>6246606</v>
      </c>
      <c r="K202" s="299">
        <f>SUM(K192:K201)</f>
        <v>6510000</v>
      </c>
      <c r="L202" s="300">
        <f>SUM(L192:L201)</f>
        <v>6170000</v>
      </c>
      <c r="M202" s="93"/>
      <c r="N202" s="9"/>
      <c r="O202" s="9"/>
      <c r="P202" s="93"/>
      <c r="Q202" s="112"/>
      <c r="S202" s="91"/>
    </row>
    <row r="203" spans="1:19" customHeight="1" ht="14.1" s="4" customFormat="1">
      <c r="A203" s="6"/>
      <c r="B203" s="6"/>
      <c r="C203" s="6"/>
      <c r="D203" s="6"/>
      <c r="E203" s="6"/>
      <c r="F203" s="6"/>
      <c r="G203" s="253"/>
      <c r="H203" s="226"/>
      <c r="I203" s="226"/>
      <c r="J203" s="226"/>
      <c r="K203" s="226"/>
      <c r="L203" s="80"/>
      <c r="M203" s="93"/>
      <c r="N203" s="9"/>
      <c r="O203" s="9"/>
      <c r="P203" s="93"/>
      <c r="Q203" s="112"/>
      <c r="S203" s="91"/>
    </row>
    <row r="204" spans="1:19" customHeight="1" ht="14.1" s="4" customFormat="1">
      <c r="A204" s="6"/>
      <c r="B204" s="6"/>
      <c r="C204" s="6"/>
      <c r="D204" s="6"/>
      <c r="E204" s="6"/>
      <c r="F204" s="6"/>
      <c r="G204" s="253"/>
      <c r="H204" s="226"/>
      <c r="I204" s="226"/>
      <c r="J204" s="226"/>
      <c r="K204" s="226"/>
      <c r="L204" s="80"/>
      <c r="M204" s="93"/>
      <c r="N204" s="9"/>
      <c r="O204" s="9"/>
      <c r="P204" s="93"/>
      <c r="Q204" s="112"/>
      <c r="S204" s="91"/>
    </row>
    <row r="205" spans="1:19" customHeight="1" ht="14.1" s="4" customFormat="1">
      <c r="A205" s="6"/>
      <c r="B205" s="6"/>
      <c r="C205" s="6"/>
      <c r="D205" s="6"/>
      <c r="E205" s="6"/>
      <c r="F205" s="6"/>
      <c r="G205" s="253"/>
      <c r="H205" s="226"/>
      <c r="I205" s="226"/>
      <c r="J205" s="226"/>
      <c r="K205" s="226"/>
      <c r="L205" s="80"/>
      <c r="M205" s="93"/>
      <c r="N205" s="9"/>
      <c r="O205" s="9"/>
      <c r="P205" s="93"/>
      <c r="Q205" s="112"/>
      <c r="S205" s="91"/>
    </row>
    <row r="206" spans="1:19" customHeight="1" ht="14.1" s="4" customFormat="1">
      <c r="A206" s="279"/>
      <c r="B206" s="279"/>
      <c r="C206" s="279"/>
      <c r="D206" s="279"/>
      <c r="E206" s="279"/>
      <c r="F206" s="279"/>
      <c r="G206" s="280"/>
      <c r="H206" s="281"/>
      <c r="I206" s="281"/>
      <c r="J206" s="281"/>
      <c r="K206" s="281"/>
      <c r="L206" s="281"/>
      <c r="M206" s="93"/>
      <c r="N206" s="9"/>
      <c r="O206" s="9"/>
      <c r="P206" s="93"/>
      <c r="Q206" s="112"/>
      <c r="S206" s="91"/>
    </row>
    <row r="207" spans="1:19" customHeight="1" ht="14.1" s="4" customFormat="1">
      <c r="A207" s="6"/>
      <c r="B207" s="6"/>
      <c r="C207" s="6"/>
      <c r="D207" s="6"/>
      <c r="E207" s="6"/>
      <c r="F207" s="6"/>
      <c r="G207" s="282"/>
      <c r="H207" s="80"/>
      <c r="I207" s="80"/>
      <c r="J207" s="80"/>
      <c r="K207" s="80"/>
      <c r="L207" s="80"/>
      <c r="M207" s="93"/>
      <c r="N207" s="9"/>
      <c r="O207" s="9"/>
      <c r="P207" s="93"/>
      <c r="Q207" s="112"/>
      <c r="S207" s="91"/>
    </row>
    <row r="208" spans="1:19" customHeight="1" ht="14.1" s="4" customFormat="1">
      <c r="A208" s="58" t="s">
        <v>173</v>
      </c>
      <c r="B208" s="6"/>
      <c r="C208" s="6"/>
      <c r="D208" s="6"/>
      <c r="E208" s="6"/>
      <c r="F208" s="6"/>
      <c r="G208" s="253"/>
      <c r="H208" s="226"/>
      <c r="I208" s="226"/>
      <c r="J208" s="226"/>
      <c r="K208" s="226"/>
      <c r="L208" s="80"/>
      <c r="M208" s="93"/>
      <c r="N208" s="9"/>
      <c r="O208" s="9"/>
      <c r="P208" s="93"/>
      <c r="Q208" s="112"/>
      <c r="S208" s="91"/>
    </row>
    <row r="209" spans="1:19" customHeight="1" ht="14.1" s="4" customFormat="1">
      <c r="A209" s="6"/>
      <c r="B209" s="6"/>
      <c r="C209" s="68" t="s">
        <v>174</v>
      </c>
      <c r="D209" s="6"/>
      <c r="E209" s="6"/>
      <c r="F209" s="6"/>
      <c r="G209" s="213"/>
      <c r="H209" s="254"/>
      <c r="I209" s="254"/>
      <c r="J209" s="254"/>
      <c r="K209" s="255"/>
      <c r="L209" s="200"/>
      <c r="M209" s="93"/>
      <c r="N209" s="77"/>
      <c r="O209" s="9"/>
      <c r="P209" s="93"/>
      <c r="Q209" s="112"/>
      <c r="R209" s="112"/>
      <c r="S209" s="140"/>
    </row>
    <row r="210" spans="1:19" customHeight="1" ht="14.1" s="157" customFormat="1">
      <c r="A210" s="152"/>
      <c r="B210" s="153"/>
      <c r="C210" s="151" t="s">
        <v>175</v>
      </c>
      <c r="D210" s="152"/>
      <c r="E210" s="152"/>
      <c r="F210" s="152"/>
      <c r="G210" s="238" t="s">
        <v>176</v>
      </c>
      <c r="H210" s="307">
        <v>0</v>
      </c>
      <c r="I210" s="307"/>
      <c r="J210" s="307">
        <f>K210-I210</f>
        <v>964743.58</v>
      </c>
      <c r="K210" s="254">
        <v>964743.58</v>
      </c>
      <c r="L210" s="308">
        <v>5788461.48</v>
      </c>
      <c r="M210" s="154"/>
      <c r="N210" s="155"/>
      <c r="O210" s="156"/>
      <c r="Q210" s="158"/>
    </row>
    <row r="211" spans="1:19" customHeight="1" ht="14.1" s="157" customFormat="1">
      <c r="A211" s="152"/>
      <c r="B211" s="153"/>
      <c r="C211" s="151" t="s">
        <v>174</v>
      </c>
      <c r="D211" s="152"/>
      <c r="E211" s="152"/>
      <c r="F211" s="152"/>
      <c r="G211" s="238" t="s">
        <v>177</v>
      </c>
      <c r="H211" s="256">
        <v>0</v>
      </c>
      <c r="I211" s="256">
        <v>1078553.73</v>
      </c>
      <c r="J211" s="256">
        <f>K211-I211</f>
        <v>1741813.86</v>
      </c>
      <c r="K211" s="257">
        <v>2820367.59</v>
      </c>
      <c r="L211" s="201">
        <v>2686207.94</v>
      </c>
      <c r="M211" s="154"/>
      <c r="N211" s="155"/>
      <c r="O211" s="156"/>
      <c r="Q211" s="158"/>
    </row>
    <row r="212" spans="1:19" customHeight="1" ht="14.1" s="157" customFormat="1">
      <c r="A212" s="152"/>
      <c r="B212" s="152"/>
      <c r="C212" s="151" t="s">
        <v>178</v>
      </c>
      <c r="D212" s="152"/>
      <c r="E212" s="152"/>
      <c r="F212" s="152"/>
      <c r="G212" s="258" t="s">
        <v>179</v>
      </c>
      <c r="H212" s="259">
        <v>1503150.23</v>
      </c>
      <c r="I212" s="259">
        <v>872040</v>
      </c>
      <c r="J212" s="294">
        <f>K212-I212</f>
        <v>3127960</v>
      </c>
      <c r="K212" s="260">
        <v>4000000</v>
      </c>
      <c r="L212" s="202">
        <v>0</v>
      </c>
      <c r="M212" s="154"/>
      <c r="N212" s="155"/>
      <c r="O212" s="156"/>
      <c r="Q212" s="158"/>
    </row>
    <row r="213" spans="1:19" customHeight="1" ht="14.1" s="4" customFormat="1">
      <c r="A213" s="6" t="s">
        <v>180</v>
      </c>
      <c r="B213" s="6"/>
      <c r="C213" s="6"/>
      <c r="D213" s="6"/>
      <c r="E213" s="6"/>
      <c r="F213" s="6"/>
      <c r="G213" s="253"/>
      <c r="H213" s="299">
        <f>SUM(H209:H212)</f>
        <v>1503150.23</v>
      </c>
      <c r="I213" s="299">
        <f>SUM(I209:I212)</f>
        <v>1950593.73</v>
      </c>
      <c r="J213" s="299">
        <f>SUM(J209:J212)</f>
        <v>5834517.44</v>
      </c>
      <c r="K213" s="299">
        <f>SUM(K209:K212)</f>
        <v>7785111.17</v>
      </c>
      <c r="L213" s="309">
        <f>SUM(L209:L212)</f>
        <v>8474669.42</v>
      </c>
      <c r="M213" s="93"/>
      <c r="N213" s="9"/>
      <c r="O213" s="9"/>
      <c r="P213" s="93"/>
      <c r="Q213" s="112"/>
      <c r="S213" s="91"/>
    </row>
    <row r="214" spans="1:19" customHeight="1" ht="14.1" s="4" customFormat="1">
      <c r="A214" s="6"/>
      <c r="B214" s="6"/>
      <c r="C214" s="68"/>
      <c r="D214" s="6"/>
      <c r="E214" s="6"/>
      <c r="F214" s="6"/>
      <c r="G214" s="253"/>
      <c r="H214" s="226"/>
      <c r="I214" s="226"/>
      <c r="J214" s="226"/>
      <c r="K214" s="226"/>
      <c r="L214" s="80"/>
      <c r="M214" s="93"/>
      <c r="N214" s="9"/>
      <c r="O214" s="9"/>
      <c r="P214" s="93"/>
      <c r="Q214" s="112"/>
      <c r="S214" s="91"/>
    </row>
    <row r="215" spans="1:19" customHeight="1" ht="14.1" s="4" customFormat="1">
      <c r="A215" s="6" t="s">
        <v>181</v>
      </c>
      <c r="B215" s="6"/>
      <c r="C215" s="6"/>
      <c r="D215" s="6"/>
      <c r="E215" s="6"/>
      <c r="F215" s="6"/>
      <c r="G215" s="253"/>
      <c r="H215" s="310">
        <f>+H202+H187+H213</f>
        <v>210195930.42</v>
      </c>
      <c r="I215" s="310">
        <f>+I202+I187+I213</f>
        <v>111462870.32</v>
      </c>
      <c r="J215" s="310">
        <f>+J202+J187+J213</f>
        <v>206390404.31</v>
      </c>
      <c r="K215" s="310">
        <f>+K202+K187+K213</f>
        <v>317853274.63</v>
      </c>
      <c r="L215" s="311">
        <f>+L202+L187+L213</f>
        <v>210182908.34</v>
      </c>
      <c r="M215" s="93"/>
      <c r="N215" s="77"/>
      <c r="O215" s="77"/>
      <c r="P215" s="93"/>
      <c r="Q215" s="112"/>
      <c r="S215" s="91"/>
    </row>
    <row r="216" spans="1:19" customHeight="1" ht="15" s="9" customFormat="1">
      <c r="A216" s="73"/>
      <c r="B216" s="73"/>
      <c r="C216" s="73"/>
      <c r="D216" s="73"/>
      <c r="E216" s="73"/>
      <c r="F216" s="73"/>
      <c r="G216" s="261"/>
      <c r="H216" s="261"/>
      <c r="I216" s="261"/>
      <c r="J216" s="261"/>
      <c r="K216" s="262"/>
      <c r="L216" s="203"/>
      <c r="M216" s="93"/>
      <c r="P216" s="93"/>
      <c r="Q216" s="125"/>
      <c r="S216" s="88"/>
    </row>
    <row r="217" spans="1:19" customHeight="1" ht="18" s="273" customFormat="1">
      <c r="A217" s="6"/>
      <c r="B217" s="6"/>
      <c r="G217" s="274"/>
      <c r="H217" s="274"/>
    </row>
    <row r="218" spans="1:19" customHeight="1" ht="18" s="9" customFormat="1">
      <c r="A218" s="9" t="s">
        <v>182</v>
      </c>
      <c r="I218" s="275"/>
      <c r="J218" s="275"/>
      <c r="K218" s="275"/>
      <c r="L218" s="275"/>
    </row>
    <row r="219" spans="1:19" customHeight="1" ht="18" s="9" customFormat="1">
      <c r="G219" s="276"/>
      <c r="H219" s="276"/>
      <c r="I219" s="276"/>
      <c r="J219" s="276"/>
      <c r="K219" s="276"/>
      <c r="L219" s="276"/>
    </row>
    <row r="220" spans="1:19" customHeight="1" ht="18" s="9" customFormat="1">
      <c r="A220" s="1487" t="s">
        <v>183</v>
      </c>
      <c r="B220" s="1487"/>
      <c r="C220" s="1487"/>
      <c r="D220" s="277"/>
      <c r="E220" s="277"/>
      <c r="F220" s="278" t="s">
        <v>184</v>
      </c>
      <c r="G220" s="275"/>
      <c r="H220" s="275"/>
      <c r="I220" s="275"/>
      <c r="J220" s="276" t="s">
        <v>185</v>
      </c>
      <c r="K220" s="1488"/>
      <c r="L220" s="1488"/>
    </row>
    <row r="221" spans="1:19" customHeight="1" ht="18" s="9" customFormat="1"/>
    <row r="222" spans="1:19" customHeight="1" ht="18" s="9" customFormat="1"/>
    <row r="223" spans="1:19" customHeight="1" ht="18" s="11" customFormat="1">
      <c r="A223" s="1489" t="s">
        <v>186</v>
      </c>
      <c r="B223" s="1489"/>
      <c r="C223" s="1489"/>
      <c r="D223" s="1489"/>
      <c r="E223" s="1489"/>
      <c r="F223" s="1489" t="s">
        <v>187</v>
      </c>
      <c r="G223" s="1489"/>
      <c r="H223" s="1489"/>
      <c r="I223" s="1489"/>
      <c r="J223" s="1489" t="s">
        <v>186</v>
      </c>
      <c r="K223" s="1489"/>
      <c r="L223" s="1489"/>
    </row>
    <row r="224" spans="1:19" customHeight="1" ht="12" s="11" customFormat="1">
      <c r="A224" s="1468" t="s">
        <v>188</v>
      </c>
      <c r="B224" s="1468"/>
      <c r="C224" s="1468"/>
      <c r="D224" s="1468"/>
      <c r="E224" s="1468"/>
      <c r="F224" s="1468" t="s">
        <v>189</v>
      </c>
      <c r="G224" s="1468"/>
      <c r="H224" s="1468"/>
      <c r="I224" s="1468"/>
      <c r="J224" s="1468" t="s">
        <v>188</v>
      </c>
      <c r="K224" s="1468"/>
      <c r="L224" s="1468"/>
    </row>
    <row r="225" spans="1:19" customHeight="1" ht="12" s="9" customFormat="1">
      <c r="A225" s="1468"/>
      <c r="B225" s="1468"/>
      <c r="C225" s="1468"/>
      <c r="D225" s="1468"/>
      <c r="E225" s="1468"/>
      <c r="F225" s="1468" t="s">
        <v>190</v>
      </c>
      <c r="G225" s="1468"/>
      <c r="H225" s="1468"/>
      <c r="I225" s="1468"/>
      <c r="J225" s="1468"/>
      <c r="K225" s="1468"/>
      <c r="L225" s="1468"/>
    </row>
    <row r="226" spans="1:19" customHeight="1" ht="15" s="9" customFormat="1">
      <c r="A226" s="7"/>
      <c r="B226" s="7"/>
      <c r="F226" s="7"/>
      <c r="G226" s="8"/>
      <c r="H226" s="147"/>
      <c r="I226" s="147"/>
      <c r="J226" s="147"/>
      <c r="L226" s="66"/>
      <c r="M226" s="148"/>
      <c r="P226" s="148"/>
      <c r="Q226" s="149"/>
      <c r="S226" s="150"/>
    </row>
    <row r="228" spans="1:19">
      <c r="G228" s="9" t="s">
        <v>191</v>
      </c>
      <c r="I228" s="77">
        <v>26593763.59</v>
      </c>
      <c r="J228" s="77"/>
      <c r="K228" s="316">
        <v>89805000</v>
      </c>
      <c r="L228" s="316">
        <v>90065000</v>
      </c>
    </row>
    <row r="229" spans="1:19">
      <c r="G229" s="9" t="s">
        <v>192</v>
      </c>
      <c r="I229" s="77">
        <v>0</v>
      </c>
      <c r="J229" s="77"/>
      <c r="K229" s="316">
        <v>3942000</v>
      </c>
      <c r="L229" s="316">
        <v>3942000</v>
      </c>
    </row>
    <row r="230" spans="1:19">
      <c r="G230" s="9" t="s">
        <v>193</v>
      </c>
      <c r="I230" s="77">
        <v>0</v>
      </c>
      <c r="J230" s="77"/>
      <c r="K230" s="316">
        <f>200000+60000</f>
        <v>260000</v>
      </c>
    </row>
    <row r="231" spans="1:19">
      <c r="I231" s="77">
        <f>I228+I229+I230+I215</f>
        <v>138056633.91</v>
      </c>
      <c r="J231" s="77">
        <f>J228+J229+J230+J215</f>
        <v>206390404.31</v>
      </c>
      <c r="K231" s="77">
        <f>K228+K229+K230+K215</f>
        <v>411860274.63</v>
      </c>
      <c r="L231" s="77">
        <f>L229+L228+K215</f>
        <v>411860274.63</v>
      </c>
    </row>
    <row r="232" spans="1:19">
      <c r="L232" s="13"/>
    </row>
    <row r="234" spans="1:19">
      <c r="K234" s="316">
        <v>317593274.63</v>
      </c>
    </row>
    <row r="236" spans="1:19">
      <c r="K236" s="316">
        <f>K234+K230+K229</f>
        <v>321795274.63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F15"/>
    <mergeCell ref="A220:C220"/>
    <mergeCell ref="K220:L220"/>
    <mergeCell ref="A223:E223"/>
    <mergeCell ref="F223:I223"/>
    <mergeCell ref="J223:L223"/>
    <mergeCell ref="C37:E37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  <mergeCell ref="A224:E224"/>
    <mergeCell ref="F224:I224"/>
    <mergeCell ref="J224:L224"/>
    <mergeCell ref="A225:E225"/>
    <mergeCell ref="F225:I225"/>
    <mergeCell ref="J225:L225"/>
  </mergeCells>
  <printOptions gridLines="false" gridLinesSet="true"/>
  <pageMargins left="0.6" right="0.5" top="0.5" bottom="0.5" header="0.17" footer="0.2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2"/>
  <sheetViews>
    <sheetView tabSelected="0" workbookViewId="0" showGridLines="false" showRowColHeaders="1">
      <selection activeCell="L232" sqref="L232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0.7109375" customWidth="true" style="9"/>
    <col min="6" max="6" width="14.7109375" customWidth="true" style="7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11"/>
    <col min="12" max="12" width="16.7109375" customWidth="true" style="11"/>
    <col min="13" max="13" width="16.7109375" customWidth="true" style="9"/>
    <col min="14" max="14" width="16.7109375" customWidth="true" style="355"/>
    <col min="15" max="15" width="15.7109375" customWidth="true" style="86"/>
    <col min="16" max="16" width="15.7109375" customWidth="true" style="86"/>
    <col min="17" max="17" width="15.7109375" customWidth="true" style="86"/>
    <col min="18" max="18" width="14.140625" customWidth="true" style="86"/>
    <col min="19" max="19" width="13.28515625" customWidth="true" style="86"/>
  </cols>
  <sheetData>
    <row r="1" spans="1:19" customHeight="1" ht="9.95" s="173" customFormat="1">
      <c r="A1" s="173" t="s">
        <v>0</v>
      </c>
      <c r="J1" s="174"/>
      <c r="L1" s="175"/>
    </row>
    <row r="2" spans="1:19" customHeight="1" ht="9.95" s="173" customFormat="1">
      <c r="A2" s="173" t="s">
        <v>1</v>
      </c>
      <c r="J2" s="174"/>
      <c r="L2" s="175"/>
    </row>
    <row r="3" spans="1:19" customHeight="1" ht="9.95" s="173" customFormat="1">
      <c r="A3" s="173" t="s">
        <v>2</v>
      </c>
      <c r="J3" s="174"/>
      <c r="L3" s="175"/>
    </row>
    <row r="4" spans="1:19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9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9" customHeight="1" ht="12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9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9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194</v>
      </c>
    </row>
    <row r="9" spans="1:19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 t="s">
        <v>195</v>
      </c>
    </row>
    <row r="10" spans="1:19" customHeight="1" ht="6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9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9" customHeight="1" ht="6.75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9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9" customHeight="1" ht="12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9" customHeight="1" ht="10.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9" customHeight="1" ht="12.95" s="16" customFormat="1">
      <c r="A16" s="20" t="s">
        <v>196</v>
      </c>
      <c r="B16" s="20"/>
      <c r="C16" s="32"/>
      <c r="D16" s="32"/>
      <c r="E16" s="17"/>
      <c r="F16" s="17"/>
      <c r="G16" s="204"/>
      <c r="H16" s="205"/>
      <c r="I16" s="205"/>
      <c r="J16" s="205"/>
      <c r="K16" s="204"/>
      <c r="L16" s="186"/>
      <c r="M16" s="78"/>
      <c r="N16" s="322"/>
      <c r="O16" s="83"/>
      <c r="P16" s="83"/>
      <c r="Q16" s="83"/>
      <c r="R16" s="83"/>
      <c r="S16" s="83"/>
    </row>
    <row r="17" spans="1:19" customHeight="1" ht="12.95" s="2" customFormat="1">
      <c r="B17" s="2" t="s">
        <v>197</v>
      </c>
      <c r="C17" s="9"/>
      <c r="D17" s="9"/>
      <c r="E17" s="9"/>
      <c r="F17" s="7"/>
      <c r="G17" s="213" t="s">
        <v>198</v>
      </c>
      <c r="H17" s="323">
        <v>20000000</v>
      </c>
      <c r="I17" s="323">
        <v>10000000</v>
      </c>
      <c r="J17" s="323">
        <f>K17-I17</f>
        <v>10000000</v>
      </c>
      <c r="K17" s="323">
        <v>20000000</v>
      </c>
      <c r="L17" s="324">
        <v>30000000</v>
      </c>
      <c r="M17" s="325"/>
      <c r="N17" s="326"/>
      <c r="O17" s="81"/>
      <c r="P17" s="81"/>
      <c r="Q17" s="81"/>
      <c r="R17" s="81"/>
      <c r="S17" s="81"/>
    </row>
    <row r="18" spans="1:19" customHeight="1" ht="12.95" s="2" customFormat="1">
      <c r="B18" s="327" t="s">
        <v>199</v>
      </c>
      <c r="C18" s="9"/>
      <c r="D18" s="9"/>
      <c r="E18" s="9"/>
      <c r="F18" s="7"/>
      <c r="G18" s="213" t="s">
        <v>200</v>
      </c>
      <c r="H18" s="328">
        <v>7549818.1</v>
      </c>
      <c r="I18" s="328">
        <v>2616475.45</v>
      </c>
      <c r="J18" s="328">
        <f>K18-I18</f>
        <v>10628524.55</v>
      </c>
      <c r="K18" s="216">
        <f>13245000</f>
        <v>13245000</v>
      </c>
      <c r="L18" s="190">
        <f>16215000+150000</f>
        <v>16365000</v>
      </c>
      <c r="M18" s="197"/>
      <c r="N18" s="329"/>
      <c r="O18" s="81"/>
      <c r="P18" s="81"/>
      <c r="Q18" s="81"/>
      <c r="R18" s="81"/>
      <c r="S18" s="81"/>
    </row>
    <row r="19" spans="1:19" customHeight="1" ht="12.95" s="2" customFormat="1">
      <c r="B19" s="2" t="s">
        <v>201</v>
      </c>
      <c r="C19" s="37"/>
      <c r="D19" s="9"/>
      <c r="E19" s="9"/>
      <c r="F19" s="330"/>
      <c r="G19" s="238" t="s">
        <v>118</v>
      </c>
      <c r="H19" s="257"/>
      <c r="I19" s="257">
        <v>671000</v>
      </c>
      <c r="J19" s="328">
        <f>K19-I19</f>
        <v>4929000</v>
      </c>
      <c r="K19" s="257">
        <f>5600000</f>
        <v>5600000</v>
      </c>
      <c r="L19" s="331">
        <v>10000000</v>
      </c>
      <c r="M19" s="198"/>
      <c r="N19" s="332"/>
      <c r="O19" s="81"/>
      <c r="P19" s="81"/>
      <c r="Q19" s="81"/>
      <c r="R19" s="81"/>
      <c r="S19" s="81"/>
    </row>
    <row r="20" spans="1:19" customHeight="1" ht="12.95" s="2" customFormat="1">
      <c r="B20" s="2" t="s">
        <v>202</v>
      </c>
      <c r="C20" s="37"/>
      <c r="D20" s="9"/>
      <c r="E20" s="9"/>
      <c r="F20" s="330"/>
      <c r="G20" s="238" t="s">
        <v>120</v>
      </c>
      <c r="H20" s="257">
        <v>200000</v>
      </c>
      <c r="I20" s="257">
        <v>0</v>
      </c>
      <c r="J20" s="328">
        <f>K20-I20</f>
        <v>700000</v>
      </c>
      <c r="K20" s="257">
        <f>400000+300000</f>
        <v>700000</v>
      </c>
      <c r="L20" s="331">
        <f>400000+300000</f>
        <v>700000</v>
      </c>
      <c r="M20" s="198"/>
      <c r="N20" s="332"/>
      <c r="O20" s="81"/>
      <c r="P20" s="81"/>
      <c r="Q20" s="81"/>
      <c r="R20" s="81"/>
      <c r="S20" s="81"/>
    </row>
    <row r="21" spans="1:19" customHeight="1" ht="12.95" s="2" customFormat="1">
      <c r="B21" s="2" t="s">
        <v>140</v>
      </c>
      <c r="C21" s="37"/>
      <c r="D21" s="9"/>
      <c r="E21" s="9"/>
      <c r="F21" s="55"/>
      <c r="G21" s="238" t="s">
        <v>141</v>
      </c>
      <c r="H21" s="249">
        <f>5113247.4+4456000</f>
        <v>9569247.4</v>
      </c>
      <c r="I21" s="249">
        <f>1717746+2586000</f>
        <v>4303746</v>
      </c>
      <c r="J21" s="328">
        <f>K21-I21</f>
        <v>7196254</v>
      </c>
      <c r="K21" s="257">
        <f>5000000+6500000</f>
        <v>11500000</v>
      </c>
      <c r="L21" s="331">
        <f>6000000+8000000</f>
        <v>14000000</v>
      </c>
      <c r="M21" s="198"/>
      <c r="N21" s="332"/>
      <c r="O21" s="81"/>
      <c r="P21" s="81"/>
      <c r="Q21" s="81"/>
      <c r="R21" s="81"/>
      <c r="S21" s="81"/>
    </row>
    <row r="22" spans="1:19" customHeight="1" ht="12.95" s="2" customFormat="1">
      <c r="B22" s="2" t="s">
        <v>203</v>
      </c>
      <c r="C22" s="9"/>
      <c r="D22" s="9"/>
      <c r="E22" s="9"/>
      <c r="F22" s="7"/>
      <c r="G22" s="213" t="s">
        <v>143</v>
      </c>
      <c r="H22" s="241">
        <f>117611+601761+505979.5+1307732.78+3882190+993007.25+1845650+493444+47102+3243452+11959399.62+3652889.59</f>
        <v>28650218.74</v>
      </c>
      <c r="I22" s="241">
        <f>140992+644109.27+481600+795550+117675+2478350+3990066.54+1450294.33</f>
        <v>10098637.14</v>
      </c>
      <c r="J22" s="333">
        <f>K22-I22</f>
        <v>30761362.86</v>
      </c>
      <c r="K22" s="334">
        <f>1500000+800000+2000000+3000000+2500000+1900000+1500000+1900000+280000+280000+3900000+2000000+15000000+100000+200000+4000000</f>
        <v>40860000</v>
      </c>
      <c r="L22" s="335">
        <f>1250000+800000+1100000+7020000+2450560+2800000+4810000+280000+500000+6600000+15250000+100000+200000+4000000+1000000</f>
        <v>48160560</v>
      </c>
      <c r="M22" s="77"/>
      <c r="N22" s="336"/>
      <c r="O22" s="81"/>
      <c r="P22" s="81"/>
      <c r="Q22" s="81"/>
      <c r="R22" s="81"/>
      <c r="S22" s="81"/>
    </row>
    <row r="23" spans="1:19" customHeight="1" ht="12.95" s="40" customFormat="1">
      <c r="A23" s="65" t="s">
        <v>160</v>
      </c>
      <c r="C23" s="57"/>
      <c r="D23" s="33"/>
      <c r="E23" s="33"/>
      <c r="F23" s="56"/>
      <c r="G23" s="223"/>
      <c r="H23" s="220">
        <f>SUM(H17:H22)</f>
        <v>65969284.24</v>
      </c>
      <c r="I23" s="220">
        <f>SUM(I17:I22)</f>
        <v>27689858.59</v>
      </c>
      <c r="J23" s="220">
        <f>SUM(J17:J22)</f>
        <v>64215141.41</v>
      </c>
      <c r="K23" s="220">
        <f>SUM(K17:K22)</f>
        <v>91905000</v>
      </c>
      <c r="L23" s="69">
        <f>SUM(L17:L22)</f>
        <v>119225560</v>
      </c>
      <c r="M23" s="201"/>
      <c r="N23" s="337"/>
      <c r="O23" s="81"/>
      <c r="P23" s="81"/>
      <c r="Q23" s="81"/>
      <c r="R23" s="81"/>
      <c r="S23" s="81"/>
    </row>
    <row r="24" spans="1:19" customHeight="1" ht="9.95" s="40" customFormat="1">
      <c r="A24" s="65"/>
      <c r="C24" s="57"/>
      <c r="D24" s="33"/>
      <c r="E24" s="33"/>
      <c r="F24" s="56"/>
      <c r="G24" s="223"/>
      <c r="H24" s="220"/>
      <c r="I24" s="220"/>
      <c r="J24" s="220"/>
      <c r="K24" s="220"/>
      <c r="L24" s="69"/>
      <c r="M24" s="201"/>
      <c r="N24" s="337"/>
      <c r="O24" s="81"/>
      <c r="P24" s="81"/>
      <c r="Q24" s="81"/>
      <c r="R24" s="81"/>
      <c r="S24" s="81"/>
    </row>
    <row r="25" spans="1:19" customHeight="1" ht="12.95" s="16" customFormat="1">
      <c r="A25" s="20" t="s">
        <v>204</v>
      </c>
      <c r="B25" s="20"/>
      <c r="C25" s="32"/>
      <c r="D25" s="32"/>
      <c r="E25" s="17"/>
      <c r="F25" s="17"/>
      <c r="G25" s="206"/>
      <c r="H25" s="207"/>
      <c r="I25" s="207"/>
      <c r="J25" s="207"/>
      <c r="K25" s="206"/>
      <c r="L25" s="186"/>
      <c r="M25" s="78"/>
      <c r="N25" s="322"/>
      <c r="O25" s="83"/>
      <c r="P25" s="83"/>
      <c r="Q25" s="83"/>
      <c r="R25" s="83"/>
      <c r="S25" s="83"/>
    </row>
    <row r="26" spans="1:19" customHeight="1" ht="12.95" s="40" customFormat="1">
      <c r="A26" s="65"/>
      <c r="B26" s="40" t="s">
        <v>205</v>
      </c>
      <c r="C26" s="57"/>
      <c r="D26" s="33"/>
      <c r="E26" s="33"/>
      <c r="F26" s="56"/>
      <c r="G26" s="223" t="s">
        <v>206</v>
      </c>
      <c r="H26" s="254"/>
      <c r="I26" s="254"/>
      <c r="J26" s="305">
        <f>K26-I26</f>
        <v>0</v>
      </c>
      <c r="K26" s="254">
        <v>0</v>
      </c>
      <c r="L26" s="306">
        <v>5000000</v>
      </c>
      <c r="M26" s="201"/>
      <c r="N26" s="337"/>
      <c r="O26" s="81"/>
      <c r="P26" s="81"/>
      <c r="Q26" s="81"/>
      <c r="R26" s="81"/>
      <c r="S26" s="81"/>
    </row>
    <row r="27" spans="1:19" customHeight="1" ht="12.95" s="40" customFormat="1">
      <c r="A27" s="65"/>
      <c r="B27" s="40" t="s">
        <v>163</v>
      </c>
      <c r="C27" s="57"/>
      <c r="D27" s="33"/>
      <c r="E27" s="33"/>
      <c r="F27" s="56"/>
      <c r="G27" s="223" t="s">
        <v>164</v>
      </c>
      <c r="H27" s="216"/>
      <c r="I27" s="216"/>
      <c r="J27" s="328">
        <f>K27-I27</f>
        <v>280000</v>
      </c>
      <c r="K27" s="216">
        <f>100000+100000+80000</f>
        <v>280000</v>
      </c>
      <c r="L27" s="190">
        <v>100000</v>
      </c>
      <c r="M27" s="201"/>
      <c r="N27" s="337"/>
      <c r="O27" s="81"/>
      <c r="P27" s="81"/>
      <c r="Q27" s="81"/>
      <c r="R27" s="81"/>
      <c r="S27" s="81"/>
    </row>
    <row r="28" spans="1:19" customHeight="1" ht="12.95" s="40" customFormat="1">
      <c r="A28" s="65"/>
      <c r="B28" s="40" t="s">
        <v>207</v>
      </c>
      <c r="C28" s="57"/>
      <c r="D28" s="33"/>
      <c r="E28" s="33"/>
      <c r="F28" s="56"/>
      <c r="G28" s="223" t="s">
        <v>167</v>
      </c>
      <c r="H28" s="220"/>
      <c r="I28" s="220"/>
      <c r="J28" s="328">
        <f>K28-I28</f>
        <v>250000</v>
      </c>
      <c r="K28" s="216">
        <f>100000+50000+100000</f>
        <v>250000</v>
      </c>
      <c r="L28" s="190">
        <f>400000+100000+2100000</f>
        <v>2600000</v>
      </c>
      <c r="M28" s="201"/>
      <c r="N28" s="337"/>
      <c r="O28" s="81"/>
      <c r="P28" s="81"/>
      <c r="Q28" s="81"/>
      <c r="R28" s="81"/>
      <c r="S28" s="81"/>
    </row>
    <row r="29" spans="1:19" customHeight="1" ht="12.95" s="40" customFormat="1">
      <c r="A29" s="65"/>
      <c r="B29" s="40" t="s">
        <v>208</v>
      </c>
      <c r="C29" s="57"/>
      <c r="D29" s="33"/>
      <c r="E29" s="33"/>
      <c r="F29" s="56"/>
      <c r="G29" s="223" t="s">
        <v>209</v>
      </c>
      <c r="H29" s="220"/>
      <c r="I29" s="220"/>
      <c r="J29" s="328">
        <f>K29-I29</f>
        <v>2500000</v>
      </c>
      <c r="K29" s="216">
        <v>2500000</v>
      </c>
      <c r="L29" s="190">
        <v>1500000</v>
      </c>
      <c r="M29" s="201"/>
      <c r="N29" s="337"/>
      <c r="O29" s="81"/>
      <c r="P29" s="81"/>
      <c r="Q29" s="81"/>
      <c r="R29" s="81"/>
      <c r="S29" s="81"/>
    </row>
    <row r="30" spans="1:19" customHeight="1" ht="12.95" s="40" customFormat="1">
      <c r="A30" s="65"/>
      <c r="B30" s="40" t="s">
        <v>168</v>
      </c>
      <c r="C30" s="57"/>
      <c r="D30" s="33"/>
      <c r="E30" s="33"/>
      <c r="F30" s="56"/>
      <c r="G30" s="223" t="s">
        <v>169</v>
      </c>
      <c r="H30" s="220"/>
      <c r="I30" s="220"/>
      <c r="J30" s="220"/>
      <c r="K30" s="220"/>
      <c r="L30" s="190">
        <v>3000000</v>
      </c>
      <c r="M30" s="201"/>
      <c r="N30" s="337"/>
      <c r="O30" s="81"/>
      <c r="P30" s="81"/>
      <c r="Q30" s="81"/>
      <c r="R30" s="81"/>
      <c r="S30" s="81"/>
    </row>
    <row r="31" spans="1:19" customHeight="1" ht="12.95" s="40" customFormat="1">
      <c r="A31" s="65"/>
      <c r="B31" s="40" t="s">
        <v>210</v>
      </c>
      <c r="C31" s="57"/>
      <c r="D31" s="33"/>
      <c r="E31" s="33"/>
      <c r="F31" s="56"/>
      <c r="G31" s="223" t="s">
        <v>171</v>
      </c>
      <c r="H31" s="286">
        <v>0</v>
      </c>
      <c r="I31" s="286">
        <v>0</v>
      </c>
      <c r="J31" s="333">
        <f>K31-I31</f>
        <v>70000</v>
      </c>
      <c r="K31" s="334">
        <f>70000</f>
        <v>70000</v>
      </c>
      <c r="L31" s="287">
        <v>0</v>
      </c>
      <c r="M31" s="201"/>
      <c r="N31" s="337"/>
      <c r="O31" s="81"/>
      <c r="P31" s="81"/>
      <c r="Q31" s="81"/>
      <c r="R31" s="81"/>
      <c r="S31" s="81"/>
    </row>
    <row r="32" spans="1:19" customHeight="1" ht="12.95" s="40" customFormat="1">
      <c r="A32" s="65" t="s">
        <v>172</v>
      </c>
      <c r="C32" s="57"/>
      <c r="D32" s="33"/>
      <c r="E32" s="33"/>
      <c r="F32" s="56"/>
      <c r="G32" s="223"/>
      <c r="H32" s="220">
        <f>SUM(H26:H31)</f>
        <v>0</v>
      </c>
      <c r="I32" s="220">
        <f>SUM(I26:I31)</f>
        <v>0</v>
      </c>
      <c r="J32" s="220">
        <f>SUM(J26:J31)</f>
        <v>3100000</v>
      </c>
      <c r="K32" s="220">
        <f>SUM(K26:K31)</f>
        <v>3100000</v>
      </c>
      <c r="L32" s="69">
        <f>SUM(L26:L31)</f>
        <v>12200000</v>
      </c>
      <c r="M32" s="201"/>
      <c r="N32" s="337"/>
      <c r="O32" s="81"/>
      <c r="P32" s="81"/>
      <c r="Q32" s="81"/>
      <c r="R32" s="81"/>
      <c r="S32" s="81"/>
    </row>
    <row r="33" spans="1:19" customHeight="1" ht="9.95" s="40" customFormat="1">
      <c r="A33" s="65"/>
      <c r="C33" s="57"/>
      <c r="D33" s="33"/>
      <c r="E33" s="33"/>
      <c r="F33" s="56"/>
      <c r="G33" s="223"/>
      <c r="H33" s="220"/>
      <c r="I33" s="220"/>
      <c r="J33" s="220"/>
      <c r="K33" s="220"/>
      <c r="L33" s="69"/>
      <c r="M33" s="201"/>
      <c r="N33" s="337"/>
      <c r="O33" s="81"/>
      <c r="P33" s="81"/>
      <c r="Q33" s="81"/>
      <c r="R33" s="81"/>
      <c r="S33" s="81"/>
    </row>
    <row r="34" spans="1:19" customHeight="1" ht="12.95" s="40" customFormat="1">
      <c r="A34" s="65" t="s">
        <v>211</v>
      </c>
      <c r="C34" s="57"/>
      <c r="D34" s="33"/>
      <c r="E34" s="33"/>
      <c r="F34" s="56"/>
      <c r="G34" s="223"/>
      <c r="H34" s="220">
        <f>H32+H23</f>
        <v>65969284.24</v>
      </c>
      <c r="I34" s="220">
        <f>I32+I23</f>
        <v>27689858.59</v>
      </c>
      <c r="J34" s="220">
        <f>J32+J23</f>
        <v>67315141.41</v>
      </c>
      <c r="K34" s="220">
        <f>K32+K23</f>
        <v>95005000</v>
      </c>
      <c r="L34" s="338">
        <f>L32+L23</f>
        <v>131425560</v>
      </c>
      <c r="M34" s="201"/>
      <c r="N34" s="201"/>
      <c r="O34" s="81"/>
      <c r="P34" s="81"/>
      <c r="Q34" s="81"/>
      <c r="R34" s="81"/>
      <c r="S34" s="81"/>
    </row>
    <row r="35" spans="1:19" customHeight="1" ht="6" s="40" customFormat="1">
      <c r="A35" s="263"/>
      <c r="B35" s="161"/>
      <c r="C35" s="162"/>
      <c r="D35" s="163"/>
      <c r="E35" s="163"/>
      <c r="F35" s="164"/>
      <c r="G35" s="227"/>
      <c r="H35" s="314"/>
      <c r="I35" s="314"/>
      <c r="J35" s="314"/>
      <c r="K35" s="339"/>
      <c r="L35" s="340"/>
      <c r="M35" s="33"/>
      <c r="N35" s="337"/>
      <c r="O35" s="81"/>
      <c r="P35" s="81"/>
      <c r="Q35" s="81"/>
      <c r="R35" s="81"/>
      <c r="S35" s="81"/>
    </row>
    <row r="36" spans="1:19" customHeight="1" ht="4.5" s="273" customFormat="1">
      <c r="A36" s="6"/>
      <c r="B36" s="6"/>
      <c r="G36" s="274"/>
      <c r="H36" s="274"/>
    </row>
    <row r="37" spans="1:19" customHeight="1" ht="17.25" s="9" customFormat="1">
      <c r="A37" s="9" t="s">
        <v>182</v>
      </c>
      <c r="I37" s="275"/>
      <c r="J37" s="275"/>
      <c r="K37" s="275"/>
      <c r="L37" s="275"/>
    </row>
    <row r="38" spans="1:19" customHeight="1" ht="10.5" s="9" customFormat="1">
      <c r="G38" s="276"/>
      <c r="H38" s="276"/>
      <c r="I38" s="276"/>
      <c r="J38" s="276"/>
      <c r="K38" s="276"/>
      <c r="L38" s="276"/>
    </row>
    <row r="39" spans="1:19" customHeight="1" ht="18" s="9" customFormat="1">
      <c r="A39" s="1487" t="s">
        <v>183</v>
      </c>
      <c r="B39" s="1487"/>
      <c r="C39" s="1487"/>
      <c r="D39" s="277"/>
      <c r="E39" s="277"/>
      <c r="F39" s="278" t="s">
        <v>184</v>
      </c>
      <c r="G39" s="275"/>
      <c r="H39" s="275"/>
      <c r="I39" s="275"/>
      <c r="J39" s="276" t="s">
        <v>185</v>
      </c>
      <c r="K39" s="1488"/>
      <c r="L39" s="1488"/>
    </row>
    <row r="40" spans="1:19" customHeight="1" ht="9.75" s="9" customFormat="1"/>
    <row r="41" spans="1:19" customHeight="1" ht="7.5" s="9" customFormat="1"/>
    <row r="42" spans="1:19" customHeight="1" ht="12.75" s="11" customFormat="1">
      <c r="A42" s="1489" t="s">
        <v>186</v>
      </c>
      <c r="B42" s="1489"/>
      <c r="C42" s="1489"/>
      <c r="D42" s="1489"/>
      <c r="E42" s="1489"/>
      <c r="F42" s="1489" t="s">
        <v>187</v>
      </c>
      <c r="G42" s="1489"/>
      <c r="H42" s="1489"/>
      <c r="I42" s="1489"/>
      <c r="J42" s="1489" t="s">
        <v>186</v>
      </c>
      <c r="K42" s="1489"/>
      <c r="L42" s="1489"/>
    </row>
    <row r="43" spans="1:19" customHeight="1" ht="12" s="11" customFormat="1">
      <c r="A43" s="1468" t="s">
        <v>188</v>
      </c>
      <c r="B43" s="1468"/>
      <c r="C43" s="1468"/>
      <c r="D43" s="1468"/>
      <c r="E43" s="1468"/>
      <c r="F43" s="1468" t="s">
        <v>189</v>
      </c>
      <c r="G43" s="1468"/>
      <c r="H43" s="1468"/>
      <c r="I43" s="1468"/>
      <c r="J43" s="1468" t="s">
        <v>188</v>
      </c>
      <c r="K43" s="1468"/>
      <c r="L43" s="1468"/>
    </row>
    <row r="44" spans="1:19" customHeight="1" ht="12" s="9" customFormat="1">
      <c r="A44" s="1468"/>
      <c r="B44" s="1468"/>
      <c r="C44" s="1468"/>
      <c r="D44" s="1468"/>
      <c r="E44" s="1468"/>
      <c r="F44" s="1468" t="s">
        <v>190</v>
      </c>
      <c r="G44" s="1468"/>
      <c r="H44" s="1468"/>
      <c r="I44" s="1468"/>
      <c r="J44" s="1468"/>
      <c r="K44" s="1468"/>
      <c r="L44" s="1468"/>
    </row>
    <row r="45" spans="1:19" customHeight="1" ht="15" s="40" customFormat="1">
      <c r="C45" s="57"/>
      <c r="D45" s="33"/>
      <c r="E45" s="33"/>
      <c r="F45" s="56"/>
      <c r="G45" s="341"/>
      <c r="H45" s="71"/>
      <c r="I45" s="71"/>
      <c r="J45" s="71"/>
      <c r="K45" s="71"/>
      <c r="L45" s="71"/>
      <c r="M45" s="33"/>
      <c r="N45" s="337"/>
      <c r="O45" s="81"/>
      <c r="P45" s="81"/>
      <c r="Q45" s="81"/>
      <c r="R45" s="81"/>
      <c r="S45" s="81"/>
    </row>
    <row r="46" spans="1:19" customHeight="1" ht="15" s="40" customFormat="1">
      <c r="C46" s="57"/>
      <c r="D46" s="33"/>
      <c r="E46" s="33"/>
      <c r="F46" s="56"/>
      <c r="G46" s="341"/>
      <c r="H46" s="71"/>
      <c r="I46" s="71"/>
      <c r="J46" s="71"/>
      <c r="K46" s="71"/>
      <c r="L46" s="71"/>
      <c r="M46" s="33"/>
      <c r="N46" s="337"/>
      <c r="O46" s="81"/>
      <c r="P46" s="81"/>
      <c r="Q46" s="81"/>
      <c r="R46" s="81"/>
      <c r="S46" s="81"/>
    </row>
    <row r="47" spans="1:19" customHeight="1" ht="19.15" s="11" customFormat="1">
      <c r="A47" s="342"/>
      <c r="B47" s="343"/>
      <c r="C47" s="342"/>
      <c r="D47" s="177"/>
      <c r="E47" s="177"/>
      <c r="F47" s="177"/>
      <c r="G47" s="344"/>
      <c r="H47" s="22"/>
      <c r="I47" s="22"/>
      <c r="J47" s="22"/>
      <c r="M47" s="9"/>
      <c r="N47" s="345"/>
      <c r="O47" s="346"/>
      <c r="P47" s="346"/>
      <c r="Q47" s="82"/>
      <c r="R47" s="82"/>
      <c r="S47" s="82"/>
    </row>
    <row r="48" spans="1:19">
      <c r="A48" s="9"/>
      <c r="B48" s="9"/>
      <c r="C48" s="9"/>
      <c r="D48" s="9"/>
      <c r="E48" s="9"/>
      <c r="F48" s="7"/>
      <c r="G48" s="9"/>
      <c r="H48" s="9"/>
      <c r="I48" s="9"/>
      <c r="J48" s="9"/>
      <c r="K48" s="11"/>
      <c r="L48" s="347"/>
      <c r="N48" s="345"/>
      <c r="O48" s="348"/>
      <c r="P48" s="348"/>
    </row>
    <row r="49" spans="1:19" customHeight="1" ht="16.5" s="350" customFormat="1">
      <c r="A49" s="349"/>
      <c r="C49" s="351"/>
      <c r="D49" s="352"/>
      <c r="E49" s="352"/>
      <c r="F49" s="352"/>
      <c r="G49" s="352"/>
      <c r="H49" s="352"/>
      <c r="I49" s="352"/>
      <c r="J49" s="352"/>
      <c r="K49" s="352"/>
      <c r="L49" s="71"/>
      <c r="M49" s="353"/>
      <c r="N49" s="345"/>
      <c r="O49" s="348"/>
      <c r="P49" s="348"/>
      <c r="Q49" s="86"/>
      <c r="R49" s="86"/>
      <c r="S49" s="86"/>
    </row>
    <row r="50" spans="1:19" customHeight="1" ht="18" s="2" customFormat="1">
      <c r="A50" s="18"/>
      <c r="B50" s="18"/>
      <c r="C50" s="27"/>
      <c r="D50" s="352"/>
      <c r="E50" s="352"/>
      <c r="F50" s="352"/>
      <c r="G50" s="352"/>
      <c r="H50" s="352"/>
      <c r="I50" s="352"/>
      <c r="J50" s="352"/>
      <c r="K50" s="352"/>
      <c r="L50" s="71"/>
      <c r="M50" s="9"/>
      <c r="N50" s="345"/>
      <c r="O50" s="354"/>
      <c r="P50" s="354"/>
      <c r="Q50" s="81"/>
      <c r="R50" s="81"/>
      <c r="S50" s="81"/>
    </row>
    <row r="51" spans="1:19" customHeight="1" ht="18" s="2" customFormat="1">
      <c r="A51" s="18"/>
      <c r="B51" s="18"/>
      <c r="C51" s="27"/>
      <c r="D51" s="352"/>
      <c r="E51" s="352"/>
      <c r="F51" s="352"/>
      <c r="G51" s="352"/>
      <c r="H51" s="352"/>
      <c r="I51" s="352"/>
      <c r="J51" s="352"/>
      <c r="K51" s="352"/>
      <c r="L51" s="71"/>
      <c r="M51" s="9"/>
      <c r="N51" s="345"/>
      <c r="O51" s="354"/>
      <c r="P51" s="354"/>
      <c r="Q51" s="81"/>
      <c r="R51" s="81"/>
      <c r="S51" s="81"/>
    </row>
    <row r="52" spans="1:19" customHeight="1" ht="18" s="2" customFormat="1">
      <c r="A52" s="18"/>
      <c r="B52" s="18"/>
      <c r="C52" s="27"/>
      <c r="D52" s="33"/>
      <c r="E52" s="33"/>
      <c r="F52" s="56"/>
      <c r="G52" s="341"/>
      <c r="H52" s="71"/>
      <c r="I52" s="71"/>
      <c r="J52" s="71"/>
      <c r="K52" s="71"/>
      <c r="L52" s="71"/>
      <c r="M52" s="9"/>
      <c r="N52" s="345"/>
      <c r="O52" s="354"/>
      <c r="P52" s="354"/>
      <c r="Q52" s="81"/>
      <c r="R52" s="81"/>
      <c r="S52" s="81"/>
    </row>
    <row r="53" spans="1:19" customHeight="1" ht="15" s="40" customFormat="1">
      <c r="C53" s="57"/>
      <c r="D53" s="33"/>
      <c r="E53" s="33"/>
      <c r="F53" s="56"/>
      <c r="G53" s="341"/>
      <c r="H53" s="71"/>
      <c r="I53" s="71"/>
      <c r="J53" s="71"/>
      <c r="K53" s="71"/>
      <c r="L53" s="71"/>
      <c r="M53" s="33"/>
      <c r="N53" s="337"/>
      <c r="O53" s="81"/>
      <c r="P53" s="81"/>
      <c r="Q53" s="81"/>
      <c r="R53" s="81"/>
      <c r="S53" s="81"/>
    </row>
    <row r="232" spans="1:19">
      <c r="L23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F43:I43"/>
    <mergeCell ref="J43:L43"/>
    <mergeCell ref="A44:E44"/>
    <mergeCell ref="F44:I44"/>
    <mergeCell ref="J44:L44"/>
    <mergeCell ref="A15:F15"/>
    <mergeCell ref="A39:C39"/>
    <mergeCell ref="K39:L39"/>
    <mergeCell ref="A42:E42"/>
    <mergeCell ref="F42:I42"/>
    <mergeCell ref="J42:L42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17" footer="0.2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2"/>
  <sheetViews>
    <sheetView tabSelected="0" workbookViewId="0" showGridLines="false" showRowColHeaders="1">
      <selection activeCell="L232" sqref="L232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3" customWidth="true" style="9"/>
    <col min="6" max="6" width="11.140625" customWidth="true" style="7"/>
    <col min="7" max="7" width="12.7109375" customWidth="true" style="9"/>
    <col min="8" max="8" width="16.7109375" customWidth="true" style="9"/>
    <col min="9" max="9" width="16.7109375" customWidth="true" style="11"/>
    <col min="10" max="10" width="16.7109375" customWidth="true" style="11"/>
    <col min="11" max="11" width="16.7109375" customWidth="true" style="11"/>
    <col min="12" max="12" width="16.7109375" customWidth="true" style="11"/>
    <col min="13" max="13" width="5.140625" customWidth="true" style="0"/>
    <col min="14" max="14" width="15.7109375" customWidth="true" style="387"/>
    <col min="15" max="15" width="15.7109375" customWidth="true" style="387"/>
    <col min="16" max="16" width="15.7109375" customWidth="true" style="387"/>
  </cols>
  <sheetData>
    <row r="1" spans="1:19" customHeight="1" ht="9.95" s="173" customFormat="1">
      <c r="A1" s="173" t="s">
        <v>0</v>
      </c>
      <c r="J1" s="174"/>
      <c r="L1" s="175"/>
    </row>
    <row r="2" spans="1:19" customHeight="1" ht="9.95" s="173" customFormat="1">
      <c r="A2" s="173" t="s">
        <v>1</v>
      </c>
      <c r="J2" s="174"/>
      <c r="L2" s="175"/>
    </row>
    <row r="3" spans="1:19" customHeight="1" ht="9.95" s="173" customFormat="1">
      <c r="A3" s="173" t="s">
        <v>2</v>
      </c>
      <c r="J3" s="174"/>
      <c r="L3" s="175"/>
    </row>
    <row r="4" spans="1:19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9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9" customHeight="1" ht="12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9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9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212</v>
      </c>
    </row>
    <row r="9" spans="1:19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19" customHeight="1" ht="6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9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9" customHeight="1" ht="6.75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9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9" customHeight="1" ht="12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9" customHeight="1" ht="10.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9" customHeight="1" ht="6" s="22" customFormat="1">
      <c r="A16" s="21"/>
      <c r="B16" s="21"/>
      <c r="C16" s="21"/>
      <c r="D16" s="21"/>
      <c r="E16" s="21"/>
      <c r="F16" s="21"/>
      <c r="G16" s="181"/>
      <c r="H16" s="181"/>
      <c r="I16" s="181"/>
      <c r="J16" s="193"/>
      <c r="K16" s="181"/>
      <c r="L16" s="193"/>
      <c r="N16" s="356"/>
      <c r="O16" s="356"/>
      <c r="P16" s="356"/>
    </row>
    <row r="17" spans="1:19" customHeight="1" ht="24.95" s="40" customFormat="1">
      <c r="A17" s="59" t="s">
        <v>213</v>
      </c>
      <c r="B17" s="57"/>
      <c r="C17" s="33"/>
      <c r="D17" s="33"/>
      <c r="E17" s="33"/>
      <c r="F17" s="357"/>
      <c r="G17" s="208"/>
      <c r="H17" s="224"/>
      <c r="I17" s="237"/>
      <c r="J17" s="194"/>
      <c r="K17" s="224"/>
      <c r="L17" s="51"/>
      <c r="N17" s="358"/>
      <c r="O17" s="358"/>
      <c r="P17" s="358"/>
    </row>
    <row r="18" spans="1:19" customHeight="1" ht="29.25" s="2" customFormat="1">
      <c r="A18" s="359" t="s">
        <v>214</v>
      </c>
      <c r="C18" s="57"/>
      <c r="D18" s="29"/>
      <c r="E18" s="9"/>
      <c r="F18" s="9"/>
      <c r="G18" s="213" t="s">
        <v>118</v>
      </c>
      <c r="H18" s="360">
        <v>3942000</v>
      </c>
      <c r="I18" s="361">
        <v>0</v>
      </c>
      <c r="J18" s="362">
        <f>K18-I18</f>
        <v>3942000</v>
      </c>
      <c r="K18" s="360">
        <v>3942000</v>
      </c>
      <c r="L18" s="362">
        <v>3942000</v>
      </c>
      <c r="N18" s="363"/>
      <c r="O18" s="363"/>
      <c r="P18" s="363"/>
    </row>
    <row r="19" spans="1:19" customHeight="1" ht="18" s="2" customFormat="1">
      <c r="A19" s="359"/>
      <c r="C19" s="57"/>
      <c r="D19" s="29"/>
      <c r="E19" s="9"/>
      <c r="F19" s="9"/>
      <c r="G19" s="213"/>
      <c r="H19" s="360"/>
      <c r="I19" s="361"/>
      <c r="J19" s="362"/>
      <c r="K19" s="360"/>
      <c r="L19" s="362"/>
      <c r="N19" s="363"/>
      <c r="O19" s="363"/>
      <c r="P19" s="363"/>
    </row>
    <row r="20" spans="1:19" customHeight="1" ht="29.25" s="40" customFormat="1">
      <c r="A20" s="18" t="s">
        <v>160</v>
      </c>
      <c r="C20" s="57"/>
      <c r="D20" s="39"/>
      <c r="E20" s="43"/>
      <c r="F20" s="364"/>
      <c r="G20" s="223"/>
      <c r="H20" s="365">
        <f>H18</f>
        <v>3942000</v>
      </c>
      <c r="I20" s="365">
        <f>I18</f>
        <v>0</v>
      </c>
      <c r="J20" s="365">
        <f>J18</f>
        <v>3942000</v>
      </c>
      <c r="K20" s="365">
        <f>K18</f>
        <v>3942000</v>
      </c>
      <c r="L20" s="366">
        <f>L18</f>
        <v>3942000</v>
      </c>
      <c r="N20" s="358"/>
      <c r="O20" s="358"/>
      <c r="P20" s="367"/>
    </row>
    <row r="21" spans="1:19" customHeight="1" ht="23.25" s="40" customFormat="1">
      <c r="A21" s="18"/>
      <c r="C21" s="57"/>
      <c r="D21" s="39"/>
      <c r="E21" s="43"/>
      <c r="F21" s="364"/>
      <c r="G21" s="223"/>
      <c r="H21" s="368"/>
      <c r="I21" s="368"/>
      <c r="J21" s="369"/>
      <c r="K21" s="368"/>
      <c r="L21" s="369"/>
      <c r="N21" s="358"/>
      <c r="O21" s="358"/>
      <c r="P21" s="367"/>
    </row>
    <row r="22" spans="1:19" customHeight="1" ht="24.95" s="4" customFormat="1">
      <c r="A22" s="6" t="s">
        <v>181</v>
      </c>
      <c r="B22" s="6"/>
      <c r="C22" s="6"/>
      <c r="D22" s="6"/>
      <c r="E22" s="6"/>
      <c r="F22" s="6"/>
      <c r="G22" s="253"/>
      <c r="H22" s="370">
        <f>H20</f>
        <v>3942000</v>
      </c>
      <c r="I22" s="370">
        <f>I20</f>
        <v>0</v>
      </c>
      <c r="J22" s="370">
        <f>J20</f>
        <v>3942000</v>
      </c>
      <c r="K22" s="370">
        <f>K20</f>
        <v>3942000</v>
      </c>
      <c r="L22" s="371">
        <f>L20</f>
        <v>3942000</v>
      </c>
      <c r="M22" s="372"/>
    </row>
    <row r="23" spans="1:19" customHeight="1" ht="17.25" s="4" customFormat="1">
      <c r="A23" s="6"/>
      <c r="B23" s="6"/>
      <c r="C23" s="6"/>
      <c r="D23" s="6"/>
      <c r="E23" s="6"/>
      <c r="F23" s="6"/>
      <c r="G23" s="253"/>
      <c r="H23" s="370"/>
      <c r="I23" s="370"/>
      <c r="J23" s="372"/>
      <c r="K23" s="370"/>
      <c r="L23" s="372"/>
    </row>
    <row r="24" spans="1:19" customHeight="1" ht="22.5" s="65" customFormat="1">
      <c r="A24" s="263"/>
      <c r="B24" s="263"/>
      <c r="C24" s="373"/>
      <c r="D24" s="374"/>
      <c r="E24" s="375"/>
      <c r="F24" s="376"/>
      <c r="G24" s="377"/>
      <c r="H24" s="378"/>
      <c r="I24" s="379"/>
      <c r="J24" s="380"/>
      <c r="K24" s="378"/>
      <c r="L24" s="381"/>
      <c r="N24" s="382"/>
      <c r="O24" s="382"/>
      <c r="P24" s="382"/>
    </row>
    <row r="25" spans="1:19" customHeight="1" ht="18" s="273" customFormat="1">
      <c r="A25" s="6"/>
      <c r="B25" s="6"/>
      <c r="G25" s="274"/>
      <c r="H25" s="274"/>
    </row>
    <row r="26" spans="1:19" customHeight="1" ht="18" s="9" customFormat="1">
      <c r="A26" s="9" t="s">
        <v>182</v>
      </c>
      <c r="I26" s="275"/>
      <c r="J26" s="275"/>
      <c r="K26" s="275"/>
      <c r="L26" s="275"/>
    </row>
    <row r="27" spans="1:19" customHeight="1" ht="18" s="9" customFormat="1">
      <c r="G27" s="276"/>
      <c r="H27" s="276"/>
      <c r="I27" s="276"/>
      <c r="J27" s="276"/>
      <c r="K27" s="276"/>
      <c r="L27" s="276"/>
    </row>
    <row r="28" spans="1:19" customHeight="1" ht="18" s="9" customFormat="1">
      <c r="A28" s="1487" t="s">
        <v>183</v>
      </c>
      <c r="B28" s="1487"/>
      <c r="C28" s="1487"/>
      <c r="D28" s="277"/>
      <c r="E28" s="277"/>
      <c r="F28" s="278" t="s">
        <v>184</v>
      </c>
      <c r="G28" s="275"/>
      <c r="H28" s="275"/>
      <c r="I28" s="275"/>
      <c r="J28" s="276" t="s">
        <v>185</v>
      </c>
      <c r="K28" s="1488"/>
      <c r="L28" s="1488"/>
    </row>
    <row r="29" spans="1:19" customHeight="1" ht="18" s="9" customFormat="1"/>
    <row r="30" spans="1:19" customHeight="1" ht="18" s="9" customFormat="1"/>
    <row r="31" spans="1:19" customHeight="1" ht="18" s="11" customFormat="1">
      <c r="A31" s="1489" t="s">
        <v>186</v>
      </c>
      <c r="B31" s="1489"/>
      <c r="C31" s="1489"/>
      <c r="D31" s="1489"/>
      <c r="E31" s="1489"/>
      <c r="F31" s="1489" t="s">
        <v>187</v>
      </c>
      <c r="G31" s="1489"/>
      <c r="H31" s="1489"/>
      <c r="I31" s="1489"/>
      <c r="J31" s="1489" t="s">
        <v>186</v>
      </c>
      <c r="K31" s="1489"/>
      <c r="L31" s="1489"/>
    </row>
    <row r="32" spans="1:19" customHeight="1" ht="12" s="11" customFormat="1">
      <c r="A32" s="1468" t="s">
        <v>188</v>
      </c>
      <c r="B32" s="1468"/>
      <c r="C32" s="1468"/>
      <c r="D32" s="1468"/>
      <c r="E32" s="1468"/>
      <c r="F32" s="1468" t="s">
        <v>189</v>
      </c>
      <c r="G32" s="1468"/>
      <c r="H32" s="1468"/>
      <c r="I32" s="1468"/>
      <c r="J32" s="1468" t="s">
        <v>188</v>
      </c>
      <c r="K32" s="1468"/>
      <c r="L32" s="1468"/>
    </row>
    <row r="33" spans="1:19" customHeight="1" ht="12" s="9" customFormat="1">
      <c r="A33" s="1468"/>
      <c r="B33" s="1468"/>
      <c r="C33" s="1468"/>
      <c r="D33" s="1468"/>
      <c r="E33" s="1468"/>
      <c r="F33" s="1468" t="s">
        <v>190</v>
      </c>
      <c r="G33" s="1468"/>
      <c r="H33" s="1468"/>
      <c r="I33" s="1468"/>
      <c r="J33" s="1468"/>
      <c r="K33" s="1468"/>
      <c r="L33" s="1468"/>
    </row>
    <row r="34" spans="1:19" customHeight="1" ht="15" s="9" customFormat="1">
      <c r="A34" s="7"/>
      <c r="B34" s="7"/>
      <c r="F34" s="7"/>
      <c r="G34" s="8"/>
      <c r="H34" s="147"/>
      <c r="I34" s="147"/>
      <c r="J34" s="147"/>
      <c r="L34" s="66"/>
      <c r="M34" s="148"/>
      <c r="P34" s="148"/>
      <c r="Q34" s="149"/>
      <c r="S34" s="150"/>
    </row>
    <row r="35" spans="1:19" customHeight="1" ht="15" s="40" customFormat="1">
      <c r="C35" s="57"/>
      <c r="D35" s="39"/>
      <c r="E35" s="43"/>
      <c r="F35" s="383"/>
      <c r="G35" s="341"/>
      <c r="H35" s="384"/>
      <c r="I35" s="194"/>
      <c r="J35" s="194"/>
      <c r="K35" s="41"/>
      <c r="L35" s="41"/>
      <c r="N35" s="358"/>
      <c r="O35" s="358"/>
      <c r="P35" s="358"/>
    </row>
    <row r="36" spans="1:19" customHeight="1" ht="15" s="40" customFormat="1">
      <c r="C36" s="57"/>
      <c r="D36" s="39"/>
      <c r="E36" s="43"/>
      <c r="F36" s="383"/>
      <c r="G36" s="341"/>
      <c r="H36" s="384"/>
      <c r="I36" s="194"/>
      <c r="J36" s="194"/>
      <c r="K36" s="41"/>
      <c r="L36" s="41"/>
      <c r="N36" s="358"/>
      <c r="O36" s="358"/>
      <c r="P36" s="358"/>
    </row>
    <row r="37" spans="1:19" customHeight="1" ht="19.15" s="11" customFormat="1">
      <c r="A37" s="342"/>
      <c r="B37" s="343"/>
      <c r="C37" s="342"/>
      <c r="D37" s="177"/>
      <c r="E37" s="177"/>
      <c r="F37" s="177"/>
      <c r="G37" s="344"/>
      <c r="H37" s="22"/>
      <c r="I37" s="22"/>
      <c r="J37" s="385"/>
      <c r="N37" s="386"/>
      <c r="O37" s="386"/>
      <c r="P37" s="386"/>
    </row>
    <row r="38" spans="1:19">
      <c r="A38" s="9"/>
      <c r="B38" s="9"/>
      <c r="C38" s="9"/>
      <c r="D38" s="9"/>
      <c r="E38" s="9"/>
      <c r="F38" s="7"/>
      <c r="G38" s="9"/>
      <c r="H38" s="9"/>
      <c r="I38" s="11"/>
      <c r="J38" s="11"/>
      <c r="K38" s="11"/>
      <c r="L38" s="347"/>
    </row>
    <row r="39" spans="1:19" customHeight="1" ht="15">
      <c r="A39" s="388"/>
      <c r="B39" s="9"/>
      <c r="C39" s="389"/>
      <c r="D39" s="1491"/>
      <c r="E39" s="1491"/>
      <c r="F39" s="1491"/>
      <c r="G39" s="1491"/>
      <c r="H39" s="1491"/>
      <c r="I39" s="1491"/>
      <c r="J39" s="1491"/>
      <c r="K39" s="1491"/>
      <c r="L39" s="1491"/>
    </row>
    <row r="40" spans="1:19" customHeight="1" ht="18" s="2" customFormat="1">
      <c r="A40" s="18"/>
      <c r="B40" s="18"/>
      <c r="C40" s="390"/>
      <c r="D40" s="1491"/>
      <c r="E40" s="1491"/>
      <c r="F40" s="1491"/>
      <c r="G40" s="1491"/>
      <c r="H40" s="1491"/>
      <c r="I40" s="1491"/>
      <c r="J40" s="1491"/>
      <c r="K40" s="1491"/>
      <c r="L40" s="1491"/>
      <c r="N40" s="363"/>
      <c r="O40" s="363"/>
      <c r="P40" s="363"/>
    </row>
    <row r="41" spans="1:19" customHeight="1" ht="18" s="2" customFormat="1">
      <c r="A41" s="18"/>
      <c r="B41" s="18"/>
      <c r="C41" s="390"/>
      <c r="D41" s="1491"/>
      <c r="E41" s="1491"/>
      <c r="F41" s="1491"/>
      <c r="G41" s="1491"/>
      <c r="H41" s="1491"/>
      <c r="I41" s="1491"/>
      <c r="J41" s="1491"/>
      <c r="K41" s="1491"/>
      <c r="L41" s="1491"/>
      <c r="N41" s="363"/>
      <c r="O41" s="363"/>
      <c r="P41" s="363"/>
    </row>
    <row r="42" spans="1:19" customHeight="1" ht="18" s="2" customFormat="1">
      <c r="A42" s="18"/>
      <c r="B42" s="18"/>
      <c r="C42" s="390"/>
      <c r="D42" s="1491"/>
      <c r="E42" s="1491"/>
      <c r="F42" s="1491"/>
      <c r="G42" s="1491"/>
      <c r="H42" s="1491"/>
      <c r="I42" s="1491"/>
      <c r="J42" s="1491"/>
      <c r="K42" s="1491"/>
      <c r="L42" s="1491"/>
      <c r="N42" s="363"/>
      <c r="O42" s="363"/>
      <c r="P42" s="363"/>
    </row>
    <row r="43" spans="1:19" customHeight="1" ht="18" s="2" customFormat="1">
      <c r="A43" s="18"/>
      <c r="B43" s="18"/>
      <c r="C43" s="390"/>
      <c r="D43" s="1491"/>
      <c r="E43" s="1491"/>
      <c r="F43" s="1491"/>
      <c r="G43" s="1491"/>
      <c r="H43" s="1491"/>
      <c r="I43" s="1491"/>
      <c r="J43" s="1491"/>
      <c r="K43" s="1491"/>
      <c r="L43" s="1491"/>
      <c r="N43" s="363"/>
      <c r="O43" s="363"/>
      <c r="P43" s="363"/>
    </row>
    <row r="44" spans="1:19" customHeight="1" ht="15" s="10" customFormat="1">
      <c r="A44" s="391"/>
      <c r="B44" s="391"/>
      <c r="C44" s="391"/>
      <c r="D44" s="391"/>
      <c r="E44" s="391"/>
      <c r="G44" s="1492"/>
      <c r="H44" s="1492"/>
      <c r="I44" s="1492"/>
      <c r="J44" s="392"/>
      <c r="K44" s="392"/>
      <c r="L44" s="392"/>
      <c r="N44" s="60"/>
      <c r="O44" s="60"/>
      <c r="P44" s="60"/>
    </row>
    <row r="232" spans="1:19">
      <c r="L23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39:L43"/>
    <mergeCell ref="G44:I44"/>
    <mergeCell ref="A32:E32"/>
    <mergeCell ref="F32:I32"/>
    <mergeCell ref="J32:L32"/>
    <mergeCell ref="A33:E33"/>
    <mergeCell ref="F33:I33"/>
    <mergeCell ref="J33:L33"/>
    <mergeCell ref="A15:F15"/>
    <mergeCell ref="A28:C28"/>
    <mergeCell ref="K28:L28"/>
    <mergeCell ref="A31:E31"/>
    <mergeCell ref="F31:I31"/>
    <mergeCell ref="J31:L31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17" footer="0.2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64"/>
  <sheetViews>
    <sheetView tabSelected="0" workbookViewId="0" showGridLines="false" showRowColHeaders="1">
      <selection activeCell="L232" sqref="L232"/>
    </sheetView>
  </sheetViews>
  <sheetFormatPr defaultRowHeight="14.4" outlineLevelRow="0" outlineLevelCol="0"/>
  <cols>
    <col min="1" max="1" width="3.5703125" customWidth="true" style="33"/>
    <col min="2" max="2" width="3.5703125" customWidth="true" style="33"/>
    <col min="3" max="3" width="8.140625" customWidth="true" style="33"/>
    <col min="4" max="4" width="17" customWidth="true" style="33"/>
    <col min="5" max="5" width="10.7109375" customWidth="true" style="33"/>
    <col min="6" max="6" width="13.28515625" customWidth="true" style="33"/>
    <col min="7" max="7" width="12.7109375" customWidth="true" style="451"/>
    <col min="8" max="8" width="16.7109375" customWidth="true" style="33"/>
    <col min="9" max="9" width="16.7109375" customWidth="true" style="33"/>
    <col min="10" max="10" width="16.7109375" customWidth="true" style="33"/>
    <col min="11" max="11" width="16.7109375" customWidth="true" style="405"/>
    <col min="12" max="12" width="16.7109375" customWidth="true" style="405"/>
    <col min="13" max="13" width="15.85546875" customWidth="true" style="406"/>
    <col min="14" max="14" width="14" customWidth="true" style="406"/>
    <col min="15" max="15" width="14" customWidth="true" style="406"/>
    <col min="16" max="16" width="14" customWidth="true" style="406"/>
    <col min="17" max="17" width="14" customWidth="true" style="406"/>
    <col min="18" max="18" width="14" customWidth="true" style="406"/>
    <col min="19" max="19" width="14" customWidth="true" style="406"/>
    <col min="20" max="20" width="12.5703125" customWidth="true" style="406"/>
    <col min="21" max="21" width="12.5703125" customWidth="true" style="406"/>
    <col min="22" max="22" width="12.5703125" customWidth="true" style="406"/>
    <col min="23" max="23" width="12.5703125" customWidth="true" style="406"/>
    <col min="24" max="24" width="9.140625" customWidth="true" style="523"/>
    <col min="25" max="25" width="9.140625" customWidth="true" style="523"/>
    <col min="26" max="26" width="9.140625" customWidth="true" style="524"/>
  </cols>
  <sheetData>
    <row r="1" spans="1:26" customHeight="1" ht="9.95" s="173" customFormat="1">
      <c r="A1" s="173" t="s">
        <v>0</v>
      </c>
      <c r="J1" s="174"/>
      <c r="L1" s="175"/>
    </row>
    <row r="2" spans="1:26" customHeight="1" ht="9.95" s="173" customFormat="1">
      <c r="A2" s="173" t="s">
        <v>1</v>
      </c>
      <c r="J2" s="174"/>
      <c r="L2" s="175"/>
    </row>
    <row r="3" spans="1:26" customHeight="1" ht="9.95" s="173" customFormat="1">
      <c r="A3" s="173" t="s">
        <v>2</v>
      </c>
      <c r="J3" s="174"/>
      <c r="L3" s="175"/>
    </row>
    <row r="4" spans="1:26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26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26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26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26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215</v>
      </c>
    </row>
    <row r="9" spans="1:26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26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26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26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26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26" customHeight="1" ht="13.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26" customHeight="1" ht="9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26" customHeight="1" ht="15.95" s="400" customFormat="1">
      <c r="A16" s="393" t="s">
        <v>24</v>
      </c>
      <c r="B16" s="394"/>
      <c r="C16" s="394"/>
      <c r="D16" s="394"/>
      <c r="E16" s="394"/>
      <c r="F16" s="394"/>
      <c r="G16" s="395"/>
      <c r="H16" s="395"/>
      <c r="I16" s="395"/>
      <c r="J16" s="395"/>
      <c r="K16" s="395"/>
      <c r="L16" s="396"/>
      <c r="M16" s="397"/>
      <c r="N16" s="397"/>
      <c r="O16" s="397"/>
      <c r="P16" s="397"/>
      <c r="Q16" s="397"/>
      <c r="R16" s="397"/>
      <c r="S16" s="397"/>
      <c r="T16" s="397"/>
      <c r="U16" s="398"/>
      <c r="V16" s="398"/>
      <c r="W16" s="398"/>
      <c r="X16" s="399"/>
      <c r="Y16" s="399"/>
    </row>
    <row r="17" spans="1:26" customHeight="1" ht="15.95" s="408" customFormat="1">
      <c r="A17" s="401" t="s">
        <v>216</v>
      </c>
      <c r="B17" s="402"/>
      <c r="C17" s="402"/>
      <c r="D17" s="402"/>
      <c r="E17" s="402"/>
      <c r="F17" s="402"/>
      <c r="G17" s="403"/>
      <c r="H17" s="404"/>
      <c r="I17" s="404"/>
      <c r="J17" s="404"/>
      <c r="K17" s="404"/>
      <c r="L17" s="405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7"/>
      <c r="Y17" s="407"/>
    </row>
    <row r="18" spans="1:26" customHeight="1" ht="15.95" s="40" customFormat="1">
      <c r="B18" s="33" t="s">
        <v>26</v>
      </c>
      <c r="C18" s="33"/>
      <c r="D18" s="33"/>
      <c r="E18" s="33"/>
      <c r="F18" s="33"/>
      <c r="G18" s="208" t="s">
        <v>27</v>
      </c>
      <c r="H18" s="409">
        <v>23223261.13</v>
      </c>
      <c r="I18" s="409">
        <v>11670046.77</v>
      </c>
      <c r="J18" s="409">
        <f>K18-I18</f>
        <v>13758985.23</v>
      </c>
      <c r="K18" s="410">
        <v>25429032</v>
      </c>
      <c r="L18" s="411">
        <v>26162304</v>
      </c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12"/>
      <c r="Y18" s="412"/>
    </row>
    <row r="19" spans="1:26" customHeight="1" ht="15.95" s="40" customFormat="1">
      <c r="B19" s="33" t="s">
        <v>28</v>
      </c>
      <c r="C19" s="33"/>
      <c r="D19" s="33"/>
      <c r="E19" s="33"/>
      <c r="F19" s="33"/>
      <c r="G19" s="208" t="s">
        <v>29</v>
      </c>
      <c r="H19" s="413">
        <v>1030727.26</v>
      </c>
      <c r="I19" s="413">
        <v>510818.17</v>
      </c>
      <c r="J19" s="413">
        <f>K19-I19</f>
        <v>617181.83</v>
      </c>
      <c r="K19" s="404">
        <v>1128000</v>
      </c>
      <c r="L19" s="405">
        <v>1128000</v>
      </c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12"/>
      <c r="Y19" s="412"/>
    </row>
    <row r="20" spans="1:26" customHeight="1" ht="15.95" s="40" customFormat="1">
      <c r="B20" s="33" t="s">
        <v>30</v>
      </c>
      <c r="C20" s="33"/>
      <c r="D20" s="33"/>
      <c r="E20" s="33"/>
      <c r="F20" s="33"/>
      <c r="G20" s="208" t="s">
        <v>31</v>
      </c>
      <c r="H20" s="413">
        <v>1140688.64</v>
      </c>
      <c r="I20" s="413">
        <v>552395.46</v>
      </c>
      <c r="J20" s="413">
        <f>K20-I20</f>
        <v>597804.54</v>
      </c>
      <c r="K20" s="404">
        <v>1150200</v>
      </c>
      <c r="L20" s="405">
        <v>1150200</v>
      </c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12"/>
      <c r="Y20" s="412"/>
    </row>
    <row r="21" spans="1:26" customHeight="1" ht="15.95" s="40" customFormat="1">
      <c r="B21" s="33" t="s">
        <v>32</v>
      </c>
      <c r="C21" s="33"/>
      <c r="D21" s="33"/>
      <c r="E21" s="33"/>
      <c r="F21" s="33"/>
      <c r="G21" s="208" t="s">
        <v>33</v>
      </c>
      <c r="H21" s="413">
        <v>1140688.63</v>
      </c>
      <c r="I21" s="413">
        <v>552395.45</v>
      </c>
      <c r="J21" s="413">
        <f>K21-I21</f>
        <v>597804.55</v>
      </c>
      <c r="K21" s="404">
        <v>1150200</v>
      </c>
      <c r="L21" s="405">
        <v>1150200</v>
      </c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12"/>
      <c r="Y21" s="412"/>
    </row>
    <row r="22" spans="1:26" customHeight="1" ht="15.95" s="40" customFormat="1">
      <c r="B22" s="33" t="s">
        <v>34</v>
      </c>
      <c r="C22" s="33"/>
      <c r="D22" s="33"/>
      <c r="E22" s="33"/>
      <c r="F22" s="33"/>
      <c r="G22" s="208" t="s">
        <v>35</v>
      </c>
      <c r="H22" s="413">
        <v>252000</v>
      </c>
      <c r="I22" s="413">
        <v>228000</v>
      </c>
      <c r="J22" s="413">
        <f>K22-I22</f>
        <v>54000</v>
      </c>
      <c r="K22" s="404">
        <v>282000</v>
      </c>
      <c r="L22" s="405">
        <v>282000</v>
      </c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12"/>
      <c r="Y22" s="412"/>
    </row>
    <row r="23" spans="1:26" customHeight="1" ht="15.95" s="40" customFormat="1">
      <c r="B23" s="33" t="s">
        <v>36</v>
      </c>
      <c r="C23" s="33"/>
      <c r="D23" s="33"/>
      <c r="E23" s="33"/>
      <c r="F23" s="33"/>
      <c r="G23" s="208" t="s">
        <v>37</v>
      </c>
      <c r="H23" s="413">
        <v>149939.18</v>
      </c>
      <c r="I23" s="413">
        <v>107830.66</v>
      </c>
      <c r="J23" s="413">
        <f>K23-I23</f>
        <v>46285.29</v>
      </c>
      <c r="K23" s="404">
        <v>154115.95</v>
      </c>
      <c r="L23" s="405">
        <v>154115.95</v>
      </c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12"/>
      <c r="Y23" s="412"/>
    </row>
    <row r="24" spans="1:26" customHeight="1" ht="15.95" s="40" customFormat="1">
      <c r="B24" s="33" t="s">
        <v>38</v>
      </c>
      <c r="C24" s="33"/>
      <c r="D24" s="33"/>
      <c r="E24" s="33"/>
      <c r="F24" s="33"/>
      <c r="G24" s="208" t="s">
        <v>39</v>
      </c>
      <c r="H24" s="413">
        <v>1946225.45</v>
      </c>
      <c r="I24" s="413">
        <v>0</v>
      </c>
      <c r="J24" s="413">
        <f>K24-I24</f>
        <v>2119086</v>
      </c>
      <c r="K24" s="404">
        <v>2119086</v>
      </c>
      <c r="L24" s="405">
        <v>2180192</v>
      </c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12"/>
      <c r="Y24" s="412"/>
    </row>
    <row r="25" spans="1:26" customHeight="1" ht="15.95" s="40" customFormat="1">
      <c r="B25" s="33" t="s">
        <v>40</v>
      </c>
      <c r="C25" s="33"/>
      <c r="D25" s="33"/>
      <c r="E25" s="33"/>
      <c r="F25" s="33"/>
      <c r="G25" s="208" t="s">
        <v>41</v>
      </c>
      <c r="H25" s="413">
        <v>217250</v>
      </c>
      <c r="I25" s="413">
        <v>0</v>
      </c>
      <c r="J25" s="413">
        <f>K25-I25</f>
        <v>235000</v>
      </c>
      <c r="K25" s="404">
        <v>235000</v>
      </c>
      <c r="L25" s="405">
        <v>235000</v>
      </c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12"/>
      <c r="Y25" s="412"/>
    </row>
    <row r="26" spans="1:26" customHeight="1" ht="15.95" s="40" customFormat="1">
      <c r="B26" s="33" t="s">
        <v>42</v>
      </c>
      <c r="C26" s="33"/>
      <c r="D26" s="33"/>
      <c r="E26" s="33"/>
      <c r="F26" s="414"/>
      <c r="G26" s="208" t="s">
        <v>43</v>
      </c>
      <c r="H26" s="413">
        <v>1966654</v>
      </c>
      <c r="I26" s="413">
        <v>1826671</v>
      </c>
      <c r="J26" s="413">
        <f>K26-I26</f>
        <v>527415</v>
      </c>
      <c r="K26" s="404">
        <v>2354086</v>
      </c>
      <c r="L26" s="405">
        <f>SUM(F27:F28)</f>
        <v>2415192</v>
      </c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12"/>
      <c r="Y26" s="412"/>
    </row>
    <row r="27" spans="1:26" customHeight="1" ht="15.95" s="40" customFormat="1">
      <c r="B27" s="39" t="s">
        <v>44</v>
      </c>
      <c r="C27" s="39"/>
      <c r="D27" s="33"/>
      <c r="E27" s="33"/>
      <c r="F27" s="415">
        <f>L24</f>
        <v>2180192</v>
      </c>
      <c r="G27" s="208"/>
      <c r="H27" s="413"/>
      <c r="I27" s="413"/>
      <c r="J27" s="413"/>
      <c r="K27" s="404"/>
      <c r="L27" s="405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12"/>
      <c r="Y27" s="412"/>
    </row>
    <row r="28" spans="1:26" customHeight="1" ht="15.95" s="40" customFormat="1">
      <c r="B28" s="39" t="s">
        <v>45</v>
      </c>
      <c r="C28" s="39"/>
      <c r="D28" s="33"/>
      <c r="E28" s="33"/>
      <c r="F28" s="414">
        <f>L25</f>
        <v>235000</v>
      </c>
      <c r="G28" s="208"/>
      <c r="H28" s="413"/>
      <c r="I28" s="413"/>
      <c r="J28" s="413"/>
      <c r="K28" s="404"/>
      <c r="L28" s="405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12"/>
      <c r="Y28" s="412"/>
    </row>
    <row r="29" spans="1:26" customHeight="1" ht="15.95" s="40" customFormat="1">
      <c r="B29" s="33" t="s">
        <v>46</v>
      </c>
      <c r="C29" s="33"/>
      <c r="D29" s="33"/>
      <c r="E29" s="33"/>
      <c r="F29" s="33"/>
      <c r="G29" s="208" t="s">
        <v>47</v>
      </c>
      <c r="H29" s="413">
        <v>2466768.27</v>
      </c>
      <c r="I29" s="413">
        <v>1286647.58</v>
      </c>
      <c r="J29" s="413">
        <f>K29-I29</f>
        <v>1764836.26</v>
      </c>
      <c r="K29" s="404">
        <v>3051483.84</v>
      </c>
      <c r="L29" s="405">
        <v>3139476.48</v>
      </c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12"/>
      <c r="Y29" s="412"/>
    </row>
    <row r="30" spans="1:26" customHeight="1" ht="15.95" s="40" customFormat="1">
      <c r="B30" s="33" t="s">
        <v>48</v>
      </c>
      <c r="C30" s="33"/>
      <c r="D30" s="33"/>
      <c r="E30" s="33"/>
      <c r="F30" s="33"/>
      <c r="G30" s="208" t="s">
        <v>49</v>
      </c>
      <c r="H30" s="413">
        <v>51600</v>
      </c>
      <c r="I30" s="413">
        <v>25600</v>
      </c>
      <c r="J30" s="413">
        <f>K30-I30</f>
        <v>30800</v>
      </c>
      <c r="K30" s="404">
        <v>56400</v>
      </c>
      <c r="L30" s="405">
        <v>56400</v>
      </c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12"/>
      <c r="Y30" s="412"/>
    </row>
    <row r="31" spans="1:26" customHeight="1" ht="15.95" s="40" customFormat="1">
      <c r="B31" s="33" t="s">
        <v>50</v>
      </c>
      <c r="C31" s="33"/>
      <c r="D31" s="33"/>
      <c r="E31" s="33"/>
      <c r="F31" s="33"/>
      <c r="G31" s="208" t="s">
        <v>51</v>
      </c>
      <c r="H31" s="413">
        <v>267857.99</v>
      </c>
      <c r="I31" s="413">
        <v>135949.12</v>
      </c>
      <c r="J31" s="413">
        <f>K31-I31</f>
        <v>332024.48</v>
      </c>
      <c r="K31" s="404">
        <v>467973.6</v>
      </c>
      <c r="L31" s="405">
        <v>584754.12</v>
      </c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12"/>
      <c r="Y31" s="412"/>
    </row>
    <row r="32" spans="1:26" customHeight="1" ht="15.95" s="40" customFormat="1">
      <c r="B32" s="33" t="s">
        <v>52</v>
      </c>
      <c r="C32" s="33"/>
      <c r="D32" s="33"/>
      <c r="E32" s="33"/>
      <c r="F32" s="33"/>
      <c r="G32" s="208" t="s">
        <v>53</v>
      </c>
      <c r="H32" s="413">
        <v>50300</v>
      </c>
      <c r="I32" s="413">
        <v>25394.32</v>
      </c>
      <c r="J32" s="413">
        <f>K32-I32</f>
        <v>31005.68</v>
      </c>
      <c r="K32" s="404">
        <v>56400</v>
      </c>
      <c r="L32" s="405">
        <v>56400</v>
      </c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12"/>
      <c r="Y32" s="412"/>
    </row>
    <row r="33" spans="1:26" customHeight="1" ht="19.5" s="40" customFormat="1">
      <c r="B33" s="33" t="s">
        <v>58</v>
      </c>
      <c r="C33" s="33"/>
      <c r="D33" s="33"/>
      <c r="E33" s="33"/>
      <c r="F33" s="33"/>
      <c r="G33" s="208" t="s">
        <v>59</v>
      </c>
      <c r="H33" s="416">
        <v>1080000</v>
      </c>
      <c r="I33" s="416">
        <v>0</v>
      </c>
      <c r="J33" s="416">
        <v>0</v>
      </c>
      <c r="K33" s="416">
        <v>0</v>
      </c>
      <c r="L33" s="417">
        <v>0</v>
      </c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12"/>
      <c r="Y33" s="412"/>
    </row>
    <row r="34" spans="1:26" customHeight="1" ht="19.5" s="157" customFormat="1">
      <c r="A34" s="418" t="s">
        <v>61</v>
      </c>
      <c r="B34" s="419"/>
      <c r="C34" s="419"/>
      <c r="D34" s="419"/>
      <c r="E34" s="419"/>
      <c r="F34" s="419"/>
      <c r="G34" s="420"/>
      <c r="H34" s="421">
        <f>SUM(H18:H33)</f>
        <v>34983960.55</v>
      </c>
      <c r="I34" s="421">
        <f>SUM(I18:I33)</f>
        <v>16921748.53</v>
      </c>
      <c r="J34" s="421">
        <f>SUM(J18:J33)</f>
        <v>20712228.86</v>
      </c>
      <c r="K34" s="421">
        <f>SUM(K18:K33)</f>
        <v>37633977.39</v>
      </c>
      <c r="L34" s="422">
        <f>SUM(L18:L33)</f>
        <v>38694234.55</v>
      </c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4"/>
      <c r="Y34" s="424"/>
    </row>
    <row r="35" spans="1:26" customHeight="1" ht="17.1" s="157" customFormat="1">
      <c r="A35" s="425"/>
      <c r="B35" s="426"/>
      <c r="C35" s="426"/>
      <c r="D35" s="426"/>
      <c r="E35" s="426"/>
      <c r="F35" s="426"/>
      <c r="G35" s="427"/>
      <c r="H35" s="428"/>
      <c r="I35" s="428"/>
      <c r="J35" s="428"/>
      <c r="K35" s="428"/>
      <c r="L35" s="429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4"/>
      <c r="Y35" s="424"/>
    </row>
    <row r="36" spans="1:26" customHeight="1" ht="18" s="434" customFormat="1">
      <c r="A36" s="430" t="s">
        <v>217</v>
      </c>
      <c r="B36" s="402"/>
      <c r="C36" s="402"/>
      <c r="D36" s="402"/>
      <c r="E36" s="402"/>
      <c r="F36" s="402"/>
      <c r="G36" s="223"/>
      <c r="H36" s="431"/>
      <c r="I36" s="431"/>
      <c r="J36" s="431"/>
      <c r="K36" s="404"/>
      <c r="L36" s="405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3"/>
      <c r="Y36" s="433"/>
    </row>
    <row r="37" spans="1:26" customHeight="1" ht="18" s="435" customFormat="1">
      <c r="B37" s="33" t="s">
        <v>63</v>
      </c>
      <c r="C37" s="33"/>
      <c r="D37" s="33"/>
      <c r="E37" s="33"/>
      <c r="F37" s="33"/>
      <c r="G37" s="223" t="s">
        <v>64</v>
      </c>
      <c r="H37" s="409">
        <v>152190</v>
      </c>
      <c r="I37" s="409">
        <f>25057</f>
        <v>25057</v>
      </c>
      <c r="J37" s="409">
        <f>K37-I37</f>
        <v>2569943</v>
      </c>
      <c r="K37" s="409">
        <v>2595000</v>
      </c>
      <c r="L37" s="436">
        <f>SUM(F38:F52)</f>
        <v>2290000</v>
      </c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8"/>
      <c r="Y37" s="438"/>
    </row>
    <row r="38" spans="1:26" customHeight="1" ht="18" s="435" customFormat="1">
      <c r="B38" s="33"/>
      <c r="C38" s="43" t="s">
        <v>218</v>
      </c>
      <c r="D38" s="33"/>
      <c r="E38" s="33"/>
      <c r="F38" s="439">
        <v>400000</v>
      </c>
      <c r="G38" s="223"/>
      <c r="H38" s="440"/>
      <c r="I38" s="440"/>
      <c r="J38" s="440"/>
      <c r="K38" s="441"/>
      <c r="L38" s="439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8"/>
      <c r="Y38" s="438"/>
    </row>
    <row r="39" spans="1:26" customHeight="1" ht="18" s="435" customFormat="1">
      <c r="B39" s="33"/>
      <c r="C39" s="43" t="s">
        <v>219</v>
      </c>
      <c r="D39" s="33"/>
      <c r="E39" s="33"/>
      <c r="F39" s="439">
        <v>150000</v>
      </c>
      <c r="G39" s="223"/>
      <c r="H39" s="440"/>
      <c r="I39" s="440"/>
      <c r="J39" s="440"/>
      <c r="K39" s="441"/>
      <c r="L39" s="439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8"/>
      <c r="Y39" s="438"/>
    </row>
    <row r="40" spans="1:26" customHeight="1" ht="18" s="435" customFormat="1">
      <c r="B40" s="33"/>
      <c r="C40" s="43" t="s">
        <v>220</v>
      </c>
      <c r="D40" s="33"/>
      <c r="E40" s="33"/>
      <c r="F40" s="439">
        <v>150000</v>
      </c>
      <c r="G40" s="223"/>
      <c r="H40" s="440"/>
      <c r="I40" s="440"/>
      <c r="J40" s="440"/>
      <c r="K40" s="441"/>
      <c r="L40" s="439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8"/>
      <c r="Y40" s="438"/>
    </row>
    <row r="41" spans="1:26" customHeight="1" ht="18" s="435" customFormat="1">
      <c r="B41" s="33"/>
      <c r="C41" s="43" t="s">
        <v>221</v>
      </c>
      <c r="D41" s="33"/>
      <c r="E41" s="33"/>
      <c r="F41" s="439">
        <v>150000</v>
      </c>
      <c r="G41" s="223"/>
      <c r="H41" s="440"/>
      <c r="I41" s="440"/>
      <c r="J41" s="440"/>
      <c r="K41" s="441"/>
      <c r="L41" s="439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8"/>
      <c r="Y41" s="438"/>
    </row>
    <row r="42" spans="1:26" customHeight="1" ht="18" s="435" customFormat="1">
      <c r="B42" s="33"/>
      <c r="C42" s="43" t="s">
        <v>222</v>
      </c>
      <c r="D42" s="33"/>
      <c r="E42" s="33"/>
      <c r="F42" s="439">
        <v>150000</v>
      </c>
      <c r="G42" s="223"/>
      <c r="H42" s="440"/>
      <c r="I42" s="440"/>
      <c r="J42" s="440"/>
      <c r="K42" s="441"/>
      <c r="L42" s="439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8"/>
      <c r="Y42" s="438"/>
    </row>
    <row r="43" spans="1:26" customHeight="1" ht="18" s="435" customFormat="1">
      <c r="B43" s="33"/>
      <c r="C43" s="43" t="s">
        <v>223</v>
      </c>
      <c r="D43" s="33"/>
      <c r="E43" s="33"/>
      <c r="F43" s="439">
        <v>150000</v>
      </c>
      <c r="G43" s="223"/>
      <c r="H43" s="440"/>
      <c r="I43" s="440"/>
      <c r="J43" s="440"/>
      <c r="K43" s="441"/>
      <c r="L43" s="439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8"/>
      <c r="Y43" s="438"/>
    </row>
    <row r="44" spans="1:26" customHeight="1" ht="18" s="435" customFormat="1">
      <c r="B44" s="33"/>
      <c r="C44" s="43" t="s">
        <v>224</v>
      </c>
      <c r="D44" s="33"/>
      <c r="E44" s="33"/>
      <c r="F44" s="439">
        <v>150000</v>
      </c>
      <c r="G44" s="223"/>
      <c r="H44" s="440"/>
      <c r="I44" s="440"/>
      <c r="J44" s="440"/>
      <c r="K44" s="441"/>
      <c r="L44" s="439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X44" s="438"/>
      <c r="Y44" s="438"/>
    </row>
    <row r="45" spans="1:26" customHeight="1" ht="18" s="435" customFormat="1">
      <c r="B45" s="33"/>
      <c r="C45" s="43" t="s">
        <v>225</v>
      </c>
      <c r="D45" s="33"/>
      <c r="E45" s="33"/>
      <c r="F45" s="439">
        <v>150000</v>
      </c>
      <c r="G45" s="223"/>
      <c r="H45" s="440"/>
      <c r="I45" s="440"/>
      <c r="J45" s="440"/>
      <c r="K45" s="441"/>
      <c r="L45" s="439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8"/>
      <c r="Y45" s="438"/>
    </row>
    <row r="46" spans="1:26" customHeight="1" ht="18" s="435" customFormat="1">
      <c r="B46" s="33"/>
      <c r="C46" s="43" t="s">
        <v>226</v>
      </c>
      <c r="D46" s="33"/>
      <c r="E46" s="33"/>
      <c r="F46" s="439">
        <v>150000</v>
      </c>
      <c r="G46" s="223"/>
      <c r="H46" s="440"/>
      <c r="I46" s="440"/>
      <c r="J46" s="440"/>
      <c r="K46" s="441"/>
      <c r="L46" s="439"/>
      <c r="M46" s="437"/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8"/>
      <c r="Y46" s="438"/>
    </row>
    <row r="47" spans="1:26" customHeight="1" ht="18" s="435" customFormat="1">
      <c r="B47" s="33"/>
      <c r="C47" s="43" t="s">
        <v>227</v>
      </c>
      <c r="D47" s="33"/>
      <c r="E47" s="33"/>
      <c r="F47" s="439">
        <v>150000</v>
      </c>
      <c r="G47" s="223"/>
      <c r="H47" s="440"/>
      <c r="I47" s="440"/>
      <c r="J47" s="440"/>
      <c r="K47" s="441"/>
      <c r="L47" s="439"/>
      <c r="M47" s="437"/>
      <c r="N47" s="437"/>
      <c r="O47" s="437"/>
      <c r="P47" s="437"/>
      <c r="Q47" s="437"/>
      <c r="R47" s="437"/>
      <c r="S47" s="437"/>
      <c r="T47" s="437"/>
      <c r="U47" s="437"/>
      <c r="V47" s="437"/>
      <c r="W47" s="437"/>
      <c r="X47" s="438"/>
      <c r="Y47" s="438"/>
    </row>
    <row r="48" spans="1:26" customHeight="1" ht="18" s="435" customFormat="1">
      <c r="B48" s="33"/>
      <c r="C48" s="43" t="s">
        <v>228</v>
      </c>
      <c r="D48" s="33"/>
      <c r="E48" s="33"/>
      <c r="F48" s="439">
        <v>150000</v>
      </c>
      <c r="G48" s="223"/>
      <c r="H48" s="440"/>
      <c r="I48" s="440"/>
      <c r="J48" s="440"/>
      <c r="K48" s="441"/>
      <c r="L48" s="439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8"/>
      <c r="Y48" s="438"/>
    </row>
    <row r="49" spans="1:26" customHeight="1" ht="18" s="435" customFormat="1">
      <c r="B49" s="33"/>
      <c r="C49" s="43" t="s">
        <v>229</v>
      </c>
      <c r="D49" s="33"/>
      <c r="E49" s="33"/>
      <c r="F49" s="439">
        <v>100000</v>
      </c>
      <c r="G49" s="223"/>
      <c r="H49" s="440"/>
      <c r="I49" s="440"/>
      <c r="J49" s="440"/>
      <c r="K49" s="441"/>
      <c r="L49" s="439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8"/>
      <c r="Y49" s="438"/>
    </row>
    <row r="50" spans="1:26" customHeight="1" ht="18" s="435" customFormat="1">
      <c r="B50" s="33"/>
      <c r="C50" s="43" t="s">
        <v>230</v>
      </c>
      <c r="D50" s="33"/>
      <c r="E50" s="33"/>
      <c r="F50" s="439">
        <v>100000</v>
      </c>
      <c r="G50" s="223"/>
      <c r="H50" s="440"/>
      <c r="I50" s="440"/>
      <c r="J50" s="440"/>
      <c r="K50" s="441"/>
      <c r="L50" s="439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8"/>
      <c r="Y50" s="438"/>
    </row>
    <row r="51" spans="1:26" customHeight="1" ht="18" s="435" customFormat="1">
      <c r="B51" s="33"/>
      <c r="C51" s="43" t="s">
        <v>231</v>
      </c>
      <c r="D51" s="33"/>
      <c r="E51" s="33"/>
      <c r="F51" s="439">
        <v>150000</v>
      </c>
      <c r="G51" s="223"/>
      <c r="H51" s="440"/>
      <c r="I51" s="440"/>
      <c r="J51" s="440"/>
      <c r="K51" s="441"/>
      <c r="L51" s="439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8"/>
      <c r="Y51" s="438"/>
    </row>
    <row r="52" spans="1:26" customHeight="1" ht="18" s="435" customFormat="1">
      <c r="B52" s="33"/>
      <c r="C52" s="43" t="s">
        <v>232</v>
      </c>
      <c r="D52" s="33"/>
      <c r="E52" s="33"/>
      <c r="F52" s="442">
        <v>40000</v>
      </c>
      <c r="G52" s="223"/>
      <c r="H52" s="443">
        <v>0</v>
      </c>
      <c r="I52" s="443">
        <v>0</v>
      </c>
      <c r="J52" s="443">
        <v>0</v>
      </c>
      <c r="K52" s="444">
        <v>0</v>
      </c>
      <c r="L52" s="442">
        <v>0</v>
      </c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8"/>
      <c r="Y52" s="438"/>
    </row>
    <row r="53" spans="1:26" customHeight="1" ht="20.25" s="40" customFormat="1">
      <c r="A53" s="445" t="s">
        <v>233</v>
      </c>
      <c r="B53" s="163"/>
      <c r="C53" s="163"/>
      <c r="D53" s="163"/>
      <c r="E53" s="163"/>
      <c r="F53" s="163"/>
      <c r="G53" s="446"/>
      <c r="H53" s="447">
        <f>SUM(H37:H52)</f>
        <v>152190</v>
      </c>
      <c r="I53" s="447">
        <f>SUM(I37:I52)</f>
        <v>25057</v>
      </c>
      <c r="J53" s="447">
        <f>SUM(J37:J52)</f>
        <v>2569943</v>
      </c>
      <c r="K53" s="447">
        <f>SUM(K37:K52)</f>
        <v>2595000</v>
      </c>
      <c r="L53" s="448">
        <f>SUM(L37:L52)</f>
        <v>2290000</v>
      </c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12"/>
      <c r="Y53" s="412"/>
    </row>
    <row r="54" spans="1:26" customHeight="1" ht="18" s="434" customFormat="1">
      <c r="A54" s="430" t="s">
        <v>217</v>
      </c>
      <c r="B54" s="402"/>
      <c r="C54" s="402"/>
      <c r="D54" s="402"/>
      <c r="E54" s="402"/>
      <c r="F54" s="402"/>
      <c r="G54" s="223"/>
      <c r="H54" s="431"/>
      <c r="I54" s="431"/>
      <c r="J54" s="431"/>
      <c r="K54" s="404"/>
      <c r="L54" s="405"/>
      <c r="M54" s="432"/>
      <c r="N54" s="432"/>
      <c r="O54" s="432"/>
      <c r="P54" s="432"/>
      <c r="Q54" s="432"/>
      <c r="R54" s="432"/>
      <c r="S54" s="432"/>
      <c r="T54" s="432"/>
      <c r="U54" s="432"/>
      <c r="V54" s="432"/>
      <c r="W54" s="432"/>
      <c r="X54" s="433"/>
      <c r="Y54" s="433"/>
    </row>
    <row r="55" spans="1:26" customHeight="1" ht="18" s="408" customFormat="1">
      <c r="B55" s="33" t="s">
        <v>72</v>
      </c>
      <c r="C55" s="33"/>
      <c r="D55" s="33"/>
      <c r="E55" s="33"/>
      <c r="F55" s="160"/>
      <c r="G55" s="208" t="s">
        <v>73</v>
      </c>
      <c r="H55" s="413">
        <v>37500</v>
      </c>
      <c r="I55" s="413">
        <f>33008.56</f>
        <v>33008.56</v>
      </c>
      <c r="J55" s="413">
        <f>K55-I55</f>
        <v>1436991.44</v>
      </c>
      <c r="K55" s="404">
        <v>1470000</v>
      </c>
      <c r="L55" s="405">
        <f>SUM(F56:F70)</f>
        <v>1880000</v>
      </c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7"/>
      <c r="Y55" s="407"/>
    </row>
    <row r="56" spans="1:26" customHeight="1" ht="18" s="435" customFormat="1">
      <c r="B56" s="33"/>
      <c r="C56" s="43" t="s">
        <v>218</v>
      </c>
      <c r="D56" s="33"/>
      <c r="E56" s="33"/>
      <c r="F56" s="439">
        <v>150000</v>
      </c>
      <c r="G56" s="223"/>
      <c r="H56" s="440"/>
      <c r="I56" s="440"/>
      <c r="J56" s="440"/>
      <c r="K56" s="441"/>
      <c r="L56" s="439"/>
      <c r="M56" s="437"/>
      <c r="N56" s="437">
        <f>SUM(L56:L70)</f>
        <v>0</v>
      </c>
      <c r="O56" s="437"/>
      <c r="P56" s="437"/>
      <c r="Q56" s="437"/>
      <c r="R56" s="437"/>
      <c r="S56" s="437"/>
      <c r="T56" s="437"/>
      <c r="U56" s="437"/>
      <c r="V56" s="437"/>
      <c r="W56" s="437"/>
      <c r="X56" s="438"/>
      <c r="Y56" s="438"/>
    </row>
    <row r="57" spans="1:26" customHeight="1" ht="18" s="435" customFormat="1">
      <c r="B57" s="33"/>
      <c r="C57" s="43" t="s">
        <v>219</v>
      </c>
      <c r="D57" s="33"/>
      <c r="E57" s="33"/>
      <c r="F57" s="439">
        <v>150000</v>
      </c>
      <c r="G57" s="223"/>
      <c r="H57" s="440"/>
      <c r="I57" s="440"/>
      <c r="J57" s="440"/>
      <c r="K57" s="441"/>
      <c r="L57" s="439"/>
      <c r="M57" s="437"/>
      <c r="N57" s="437"/>
      <c r="O57" s="437"/>
      <c r="P57" s="437"/>
      <c r="Q57" s="437"/>
      <c r="R57" s="437"/>
      <c r="S57" s="437"/>
      <c r="T57" s="437"/>
      <c r="U57" s="437"/>
      <c r="V57" s="437"/>
      <c r="W57" s="437"/>
      <c r="X57" s="438"/>
      <c r="Y57" s="438"/>
    </row>
    <row r="58" spans="1:26" customHeight="1" ht="18" s="435" customFormat="1">
      <c r="B58" s="33"/>
      <c r="C58" s="43" t="s">
        <v>220</v>
      </c>
      <c r="D58" s="33"/>
      <c r="E58" s="33"/>
      <c r="F58" s="439">
        <v>150000</v>
      </c>
      <c r="G58" s="223"/>
      <c r="H58" s="440"/>
      <c r="I58" s="440"/>
      <c r="J58" s="440"/>
      <c r="K58" s="441"/>
      <c r="L58" s="439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8"/>
      <c r="Y58" s="438"/>
    </row>
    <row r="59" spans="1:26" customHeight="1" ht="18" s="435" customFormat="1">
      <c r="B59" s="33"/>
      <c r="C59" s="43" t="s">
        <v>221</v>
      </c>
      <c r="D59" s="33"/>
      <c r="E59" s="33"/>
      <c r="F59" s="439">
        <v>150000</v>
      </c>
      <c r="G59" s="223"/>
      <c r="H59" s="440"/>
      <c r="I59" s="440"/>
      <c r="J59" s="440"/>
      <c r="K59" s="441"/>
      <c r="L59" s="439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8"/>
      <c r="Y59" s="438"/>
    </row>
    <row r="60" spans="1:26" customHeight="1" ht="18" s="435" customFormat="1">
      <c r="B60" s="33"/>
      <c r="C60" s="43" t="s">
        <v>222</v>
      </c>
      <c r="D60" s="33"/>
      <c r="E60" s="33"/>
      <c r="F60" s="439">
        <v>150000</v>
      </c>
      <c r="G60" s="223"/>
      <c r="H60" s="440"/>
      <c r="I60" s="440"/>
      <c r="J60" s="440"/>
      <c r="K60" s="441"/>
      <c r="L60" s="439"/>
      <c r="M60" s="437"/>
      <c r="N60" s="437"/>
      <c r="O60" s="437"/>
      <c r="P60" s="437"/>
      <c r="Q60" s="437"/>
      <c r="R60" s="437"/>
      <c r="S60" s="437"/>
      <c r="T60" s="437"/>
      <c r="U60" s="437"/>
      <c r="V60" s="437"/>
      <c r="W60" s="437"/>
      <c r="X60" s="438"/>
      <c r="Y60" s="438"/>
    </row>
    <row r="61" spans="1:26" customHeight="1" ht="18" s="435" customFormat="1">
      <c r="B61" s="33"/>
      <c r="C61" s="43" t="s">
        <v>223</v>
      </c>
      <c r="D61" s="33"/>
      <c r="E61" s="33"/>
      <c r="F61" s="439">
        <v>150000</v>
      </c>
      <c r="G61" s="223"/>
      <c r="H61" s="440"/>
      <c r="I61" s="440"/>
      <c r="J61" s="440"/>
      <c r="K61" s="441"/>
      <c r="L61" s="439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37"/>
      <c r="X61" s="438"/>
      <c r="Y61" s="438"/>
    </row>
    <row r="62" spans="1:26" customHeight="1" ht="18" s="435" customFormat="1">
      <c r="B62" s="33"/>
      <c r="C62" s="43" t="s">
        <v>224</v>
      </c>
      <c r="D62" s="33"/>
      <c r="E62" s="33"/>
      <c r="F62" s="439">
        <v>150000</v>
      </c>
      <c r="G62" s="223"/>
      <c r="H62" s="440"/>
      <c r="I62" s="440"/>
      <c r="J62" s="440"/>
      <c r="K62" s="441"/>
      <c r="L62" s="439"/>
      <c r="M62" s="437"/>
      <c r="N62" s="437"/>
      <c r="O62" s="437"/>
      <c r="P62" s="437"/>
      <c r="Q62" s="437"/>
      <c r="R62" s="437"/>
      <c r="S62" s="437"/>
      <c r="T62" s="437"/>
      <c r="U62" s="437"/>
      <c r="V62" s="437"/>
      <c r="W62" s="437"/>
      <c r="X62" s="438"/>
      <c r="Y62" s="438"/>
    </row>
    <row r="63" spans="1:26" customHeight="1" ht="18" s="435" customFormat="1">
      <c r="B63" s="33"/>
      <c r="C63" s="43" t="s">
        <v>225</v>
      </c>
      <c r="D63" s="33"/>
      <c r="E63" s="33"/>
      <c r="F63" s="439">
        <v>150000</v>
      </c>
      <c r="G63" s="223"/>
      <c r="H63" s="440"/>
      <c r="I63" s="440"/>
      <c r="J63" s="440"/>
      <c r="K63" s="441"/>
      <c r="L63" s="439"/>
      <c r="M63" s="437"/>
      <c r="N63" s="437"/>
      <c r="O63" s="437"/>
      <c r="P63" s="437"/>
      <c r="Q63" s="437"/>
      <c r="R63" s="437"/>
      <c r="S63" s="437"/>
      <c r="T63" s="437"/>
      <c r="U63" s="437"/>
      <c r="V63" s="437"/>
      <c r="W63" s="437"/>
      <c r="X63" s="438"/>
      <c r="Y63" s="438"/>
    </row>
    <row r="64" spans="1:26" customHeight="1" ht="18" s="435" customFormat="1">
      <c r="B64" s="33"/>
      <c r="C64" s="43" t="s">
        <v>226</v>
      </c>
      <c r="D64" s="33"/>
      <c r="E64" s="33"/>
      <c r="F64" s="439">
        <v>150000</v>
      </c>
      <c r="G64" s="223"/>
      <c r="H64" s="440"/>
      <c r="I64" s="440"/>
      <c r="J64" s="440"/>
      <c r="K64" s="441"/>
      <c r="L64" s="439"/>
      <c r="M64" s="437"/>
      <c r="N64" s="437"/>
      <c r="O64" s="437"/>
      <c r="P64" s="437"/>
      <c r="Q64" s="437"/>
      <c r="R64" s="437"/>
      <c r="S64" s="437"/>
      <c r="T64" s="437"/>
      <c r="U64" s="437"/>
      <c r="V64" s="437"/>
      <c r="W64" s="437"/>
      <c r="X64" s="438"/>
      <c r="Y64" s="438"/>
    </row>
    <row r="65" spans="1:26" customHeight="1" ht="18" s="435" customFormat="1">
      <c r="B65" s="33"/>
      <c r="C65" s="43" t="s">
        <v>227</v>
      </c>
      <c r="D65" s="33"/>
      <c r="E65" s="33"/>
      <c r="F65" s="439">
        <v>150000</v>
      </c>
      <c r="G65" s="223"/>
      <c r="H65" s="440"/>
      <c r="I65" s="440"/>
      <c r="J65" s="440"/>
      <c r="K65" s="441"/>
      <c r="L65" s="439"/>
      <c r="M65" s="437"/>
      <c r="N65" s="437"/>
      <c r="O65" s="437"/>
      <c r="P65" s="437"/>
      <c r="Q65" s="437"/>
      <c r="R65" s="437"/>
      <c r="S65" s="437"/>
      <c r="T65" s="437"/>
      <c r="U65" s="437"/>
      <c r="V65" s="437"/>
      <c r="W65" s="437"/>
      <c r="X65" s="438"/>
      <c r="Y65" s="438"/>
    </row>
    <row r="66" spans="1:26" customHeight="1" ht="18" s="435" customFormat="1">
      <c r="B66" s="33"/>
      <c r="C66" s="43" t="s">
        <v>228</v>
      </c>
      <c r="D66" s="33"/>
      <c r="E66" s="33"/>
      <c r="F66" s="439">
        <v>150000</v>
      </c>
      <c r="G66" s="223"/>
      <c r="H66" s="440"/>
      <c r="I66" s="440"/>
      <c r="J66" s="440"/>
      <c r="K66" s="441"/>
      <c r="L66" s="439"/>
      <c r="M66" s="437"/>
      <c r="N66" s="437"/>
      <c r="O66" s="437"/>
      <c r="P66" s="437"/>
      <c r="Q66" s="437"/>
      <c r="R66" s="437"/>
      <c r="S66" s="437"/>
      <c r="T66" s="437"/>
      <c r="U66" s="437"/>
      <c r="V66" s="437"/>
      <c r="W66" s="437"/>
      <c r="X66" s="438"/>
      <c r="Y66" s="438"/>
    </row>
    <row r="67" spans="1:26" customHeight="1" ht="18" s="435" customFormat="1">
      <c r="B67" s="33"/>
      <c r="C67" s="43" t="s">
        <v>229</v>
      </c>
      <c r="D67" s="33"/>
      <c r="E67" s="33"/>
      <c r="F67" s="439">
        <v>75000</v>
      </c>
      <c r="G67" s="223"/>
      <c r="H67" s="440"/>
      <c r="I67" s="440"/>
      <c r="J67" s="440"/>
      <c r="K67" s="441"/>
      <c r="L67" s="439"/>
      <c r="M67" s="437"/>
      <c r="N67" s="437"/>
      <c r="O67" s="437"/>
      <c r="P67" s="437"/>
      <c r="Q67" s="437"/>
      <c r="R67" s="437"/>
      <c r="S67" s="437"/>
      <c r="T67" s="437"/>
      <c r="U67" s="437"/>
      <c r="V67" s="437"/>
      <c r="W67" s="437"/>
      <c r="X67" s="438"/>
      <c r="Y67" s="438"/>
    </row>
    <row r="68" spans="1:26" customHeight="1" ht="18" s="435" customFormat="1">
      <c r="B68" s="33"/>
      <c r="C68" s="43" t="s">
        <v>230</v>
      </c>
      <c r="D68" s="33"/>
      <c r="E68" s="33"/>
      <c r="F68" s="439">
        <v>75000</v>
      </c>
      <c r="G68" s="223"/>
      <c r="H68" s="440"/>
      <c r="I68" s="440"/>
      <c r="J68" s="440"/>
      <c r="K68" s="441"/>
      <c r="L68" s="439"/>
      <c r="M68" s="437"/>
      <c r="N68" s="437"/>
      <c r="O68" s="437"/>
      <c r="P68" s="437"/>
      <c r="Q68" s="437"/>
      <c r="R68" s="437"/>
      <c r="S68" s="437"/>
      <c r="T68" s="437"/>
      <c r="U68" s="437"/>
      <c r="V68" s="437"/>
      <c r="W68" s="437"/>
      <c r="X68" s="438"/>
      <c r="Y68" s="438"/>
    </row>
    <row r="69" spans="1:26" customHeight="1" ht="18" s="435" customFormat="1">
      <c r="B69" s="33"/>
      <c r="C69" s="43" t="s">
        <v>231</v>
      </c>
      <c r="D69" s="33"/>
      <c r="E69" s="33"/>
      <c r="F69" s="439">
        <v>50000</v>
      </c>
      <c r="G69" s="223"/>
      <c r="H69" s="440"/>
      <c r="I69" s="440"/>
      <c r="J69" s="440"/>
      <c r="K69" s="441"/>
      <c r="L69" s="439"/>
      <c r="M69" s="437"/>
      <c r="N69" s="437"/>
      <c r="O69" s="437"/>
      <c r="P69" s="437"/>
      <c r="Q69" s="437"/>
      <c r="R69" s="437"/>
      <c r="S69" s="437"/>
      <c r="T69" s="437"/>
      <c r="U69" s="437"/>
      <c r="V69" s="437"/>
      <c r="W69" s="437"/>
      <c r="X69" s="438"/>
      <c r="Y69" s="438"/>
    </row>
    <row r="70" spans="1:26" customHeight="1" ht="18" s="408" customFormat="1">
      <c r="B70" s="33"/>
      <c r="C70" s="43" t="s">
        <v>232</v>
      </c>
      <c r="D70" s="33"/>
      <c r="E70" s="33"/>
      <c r="F70" s="449">
        <v>30000</v>
      </c>
      <c r="G70" s="208"/>
      <c r="H70" s="443">
        <v>0</v>
      </c>
      <c r="I70" s="443">
        <v>0</v>
      </c>
      <c r="J70" s="443">
        <v>0</v>
      </c>
      <c r="K70" s="450">
        <v>0</v>
      </c>
      <c r="L70" s="449">
        <v>0</v>
      </c>
      <c r="M70" s="406"/>
      <c r="N70" s="406"/>
      <c r="O70" s="406"/>
      <c r="P70" s="406"/>
      <c r="Q70" s="406"/>
      <c r="R70" s="406"/>
      <c r="S70" s="406"/>
      <c r="T70" s="406"/>
      <c r="U70" s="406"/>
      <c r="V70" s="406"/>
      <c r="W70" s="406"/>
      <c r="X70" s="407"/>
      <c r="Y70" s="407"/>
    </row>
    <row r="71" spans="1:26" customHeight="1" ht="18" s="40" customFormat="1">
      <c r="A71" s="445" t="s">
        <v>233</v>
      </c>
      <c r="B71" s="163"/>
      <c r="C71" s="163"/>
      <c r="D71" s="163"/>
      <c r="E71" s="163"/>
      <c r="F71" s="163"/>
      <c r="G71" s="446"/>
      <c r="H71" s="447">
        <f>SUM(H55:H70)</f>
        <v>37500</v>
      </c>
      <c r="I71" s="447">
        <f>SUM(I55:I70)</f>
        <v>33008.56</v>
      </c>
      <c r="J71" s="447">
        <f>SUM(J55:J70)</f>
        <v>1436991.44</v>
      </c>
      <c r="K71" s="447">
        <f>SUM(K55:K70)</f>
        <v>1470000</v>
      </c>
      <c r="L71" s="448">
        <f>SUM(L55:L70)</f>
        <v>1880000</v>
      </c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12"/>
      <c r="Y71" s="412"/>
    </row>
    <row r="72" spans="1:26" customHeight="1" ht="18" s="434" customFormat="1">
      <c r="A72" s="430" t="s">
        <v>217</v>
      </c>
      <c r="B72" s="402"/>
      <c r="C72" s="402"/>
      <c r="D72" s="402"/>
      <c r="E72" s="402"/>
      <c r="F72" s="402"/>
      <c r="G72" s="223"/>
      <c r="H72" s="431"/>
      <c r="I72" s="431"/>
      <c r="J72" s="431"/>
      <c r="K72" s="404"/>
      <c r="L72" s="405"/>
      <c r="M72" s="432"/>
      <c r="N72" s="432"/>
      <c r="O72" s="432"/>
      <c r="P72" s="432"/>
      <c r="Q72" s="432"/>
      <c r="R72" s="432"/>
      <c r="S72" s="432"/>
      <c r="T72" s="432"/>
      <c r="U72" s="432"/>
      <c r="V72" s="432"/>
      <c r="W72" s="432"/>
      <c r="X72" s="433"/>
      <c r="Y72" s="433"/>
    </row>
    <row r="73" spans="1:26" customHeight="1" ht="18" s="40" customFormat="1">
      <c r="B73" s="33" t="s">
        <v>234</v>
      </c>
      <c r="C73" s="33"/>
      <c r="D73" s="33"/>
      <c r="E73" s="33"/>
      <c r="F73" s="451"/>
      <c r="G73" s="223" t="s">
        <v>77</v>
      </c>
      <c r="H73" s="452">
        <v>904475.65</v>
      </c>
      <c r="I73" s="452">
        <f>149165+145539+99215+170263.29+27498</f>
        <v>591680.29</v>
      </c>
      <c r="J73" s="413">
        <f>K73-I73</f>
        <v>3378319.71</v>
      </c>
      <c r="K73" s="404">
        <v>3970000</v>
      </c>
      <c r="L73" s="405">
        <f>SUM(F74:F88)</f>
        <v>3200000</v>
      </c>
      <c r="M73" s="406"/>
      <c r="N73" s="406"/>
      <c r="O73" s="406"/>
      <c r="P73" s="406"/>
      <c r="Q73" s="406"/>
      <c r="R73" s="406"/>
      <c r="S73" s="406"/>
      <c r="T73" s="406"/>
      <c r="U73" s="406"/>
      <c r="V73" s="406"/>
      <c r="W73" s="406"/>
      <c r="X73" s="412"/>
      <c r="Y73" s="412"/>
    </row>
    <row r="74" spans="1:26" customHeight="1" ht="18" s="435" customFormat="1">
      <c r="B74" s="33"/>
      <c r="C74" s="43" t="s">
        <v>218</v>
      </c>
      <c r="D74" s="33"/>
      <c r="E74" s="33"/>
      <c r="F74" s="439">
        <v>600000</v>
      </c>
      <c r="G74" s="223"/>
      <c r="H74" s="440"/>
      <c r="I74" s="440"/>
      <c r="J74" s="440"/>
      <c r="K74" s="441"/>
      <c r="L74" s="439"/>
      <c r="M74" s="437"/>
      <c r="N74" s="437">
        <f>SUM(L74:L88)</f>
        <v>0</v>
      </c>
      <c r="O74" s="437"/>
      <c r="P74" s="437"/>
      <c r="Q74" s="437"/>
      <c r="R74" s="437"/>
      <c r="S74" s="437"/>
      <c r="T74" s="437"/>
      <c r="U74" s="437"/>
      <c r="V74" s="437"/>
      <c r="W74" s="437"/>
      <c r="X74" s="438"/>
      <c r="Y74" s="438"/>
    </row>
    <row r="75" spans="1:26" customHeight="1" ht="18" s="435" customFormat="1">
      <c r="B75" s="33"/>
      <c r="C75" s="43" t="s">
        <v>219</v>
      </c>
      <c r="D75" s="33"/>
      <c r="E75" s="33"/>
      <c r="F75" s="439">
        <v>200000</v>
      </c>
      <c r="G75" s="223"/>
      <c r="H75" s="440"/>
      <c r="I75" s="440"/>
      <c r="J75" s="440"/>
      <c r="K75" s="441"/>
      <c r="L75" s="439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8"/>
      <c r="Y75" s="438"/>
    </row>
    <row r="76" spans="1:26" customHeight="1" ht="18" s="435" customFormat="1">
      <c r="B76" s="33"/>
      <c r="C76" s="43" t="s">
        <v>220</v>
      </c>
      <c r="D76" s="33"/>
      <c r="E76" s="33"/>
      <c r="F76" s="439">
        <v>200000</v>
      </c>
      <c r="G76" s="223"/>
      <c r="H76" s="440"/>
      <c r="I76" s="440"/>
      <c r="J76" s="440"/>
      <c r="K76" s="441"/>
      <c r="L76" s="439"/>
      <c r="M76" s="437"/>
      <c r="N76" s="437"/>
      <c r="O76" s="437"/>
      <c r="P76" s="437"/>
      <c r="Q76" s="437"/>
      <c r="R76" s="437"/>
      <c r="S76" s="437"/>
      <c r="T76" s="437"/>
      <c r="U76" s="437"/>
      <c r="V76" s="437"/>
      <c r="W76" s="437"/>
      <c r="X76" s="438"/>
      <c r="Y76" s="438"/>
    </row>
    <row r="77" spans="1:26" customHeight="1" ht="18" s="435" customFormat="1">
      <c r="B77" s="33"/>
      <c r="C77" s="43" t="s">
        <v>221</v>
      </c>
      <c r="D77" s="33"/>
      <c r="E77" s="33"/>
      <c r="F77" s="439">
        <v>200000</v>
      </c>
      <c r="G77" s="223"/>
      <c r="H77" s="440"/>
      <c r="I77" s="440"/>
      <c r="J77" s="440"/>
      <c r="K77" s="441"/>
      <c r="L77" s="439"/>
      <c r="M77" s="437"/>
      <c r="N77" s="437"/>
      <c r="O77" s="437"/>
      <c r="P77" s="437"/>
      <c r="Q77" s="437"/>
      <c r="R77" s="437"/>
      <c r="S77" s="437"/>
      <c r="T77" s="437"/>
      <c r="U77" s="437"/>
      <c r="V77" s="437"/>
      <c r="W77" s="437"/>
      <c r="X77" s="438"/>
      <c r="Y77" s="438"/>
    </row>
    <row r="78" spans="1:26" customHeight="1" ht="18" s="435" customFormat="1">
      <c r="B78" s="33"/>
      <c r="C78" s="43" t="s">
        <v>222</v>
      </c>
      <c r="D78" s="33"/>
      <c r="E78" s="33"/>
      <c r="F78" s="439">
        <v>200000</v>
      </c>
      <c r="G78" s="223"/>
      <c r="H78" s="440"/>
      <c r="I78" s="440"/>
      <c r="J78" s="440"/>
      <c r="K78" s="441"/>
      <c r="L78" s="439"/>
      <c r="M78" s="437"/>
      <c r="N78" s="437"/>
      <c r="O78" s="437"/>
      <c r="P78" s="437"/>
      <c r="Q78" s="437"/>
      <c r="R78" s="437"/>
      <c r="S78" s="437"/>
      <c r="T78" s="437"/>
      <c r="U78" s="437"/>
      <c r="V78" s="437"/>
      <c r="W78" s="437"/>
      <c r="X78" s="438"/>
      <c r="Y78" s="438"/>
    </row>
    <row r="79" spans="1:26" customHeight="1" ht="18" s="435" customFormat="1">
      <c r="B79" s="33"/>
      <c r="C79" s="43" t="s">
        <v>223</v>
      </c>
      <c r="D79" s="33"/>
      <c r="E79" s="33"/>
      <c r="F79" s="439">
        <v>200000</v>
      </c>
      <c r="G79" s="223"/>
      <c r="H79" s="440"/>
      <c r="I79" s="440"/>
      <c r="J79" s="440"/>
      <c r="K79" s="441"/>
      <c r="L79" s="439"/>
      <c r="M79" s="437"/>
      <c r="N79" s="437"/>
      <c r="O79" s="437"/>
      <c r="P79" s="437"/>
      <c r="Q79" s="437"/>
      <c r="R79" s="437"/>
      <c r="S79" s="437"/>
      <c r="T79" s="437"/>
      <c r="U79" s="437"/>
      <c r="V79" s="437"/>
      <c r="W79" s="437"/>
      <c r="X79" s="438"/>
      <c r="Y79" s="438"/>
    </row>
    <row r="80" spans="1:26" customHeight="1" ht="18" s="435" customFormat="1">
      <c r="B80" s="33"/>
      <c r="C80" s="43" t="s">
        <v>224</v>
      </c>
      <c r="D80" s="33"/>
      <c r="E80" s="33"/>
      <c r="F80" s="439">
        <v>200000</v>
      </c>
      <c r="G80" s="223"/>
      <c r="H80" s="440"/>
      <c r="I80" s="440"/>
      <c r="J80" s="440"/>
      <c r="K80" s="441"/>
      <c r="L80" s="439"/>
      <c r="M80" s="437"/>
      <c r="N80" s="437"/>
      <c r="O80" s="437"/>
      <c r="P80" s="437"/>
      <c r="Q80" s="437"/>
      <c r="R80" s="437"/>
      <c r="S80" s="437"/>
      <c r="T80" s="437"/>
      <c r="U80" s="437"/>
      <c r="V80" s="437"/>
      <c r="W80" s="437"/>
      <c r="X80" s="438"/>
      <c r="Y80" s="438"/>
    </row>
    <row r="81" spans="1:26" customHeight="1" ht="18" s="435" customFormat="1">
      <c r="B81" s="33"/>
      <c r="C81" s="43" t="s">
        <v>225</v>
      </c>
      <c r="D81" s="33"/>
      <c r="E81" s="33"/>
      <c r="F81" s="439">
        <v>200000</v>
      </c>
      <c r="G81" s="223"/>
      <c r="H81" s="440"/>
      <c r="I81" s="440"/>
      <c r="J81" s="440"/>
      <c r="K81" s="441"/>
      <c r="L81" s="439"/>
      <c r="M81" s="437"/>
      <c r="N81" s="437"/>
      <c r="O81" s="437"/>
      <c r="P81" s="437"/>
      <c r="Q81" s="437"/>
      <c r="R81" s="437"/>
      <c r="S81" s="437"/>
      <c r="T81" s="437"/>
      <c r="U81" s="437"/>
      <c r="V81" s="437"/>
      <c r="W81" s="437"/>
      <c r="X81" s="438"/>
      <c r="Y81" s="438"/>
    </row>
    <row r="82" spans="1:26" customHeight="1" ht="18" s="435" customFormat="1">
      <c r="B82" s="33"/>
      <c r="C82" s="43" t="s">
        <v>226</v>
      </c>
      <c r="D82" s="33"/>
      <c r="E82" s="33"/>
      <c r="F82" s="439">
        <v>200000</v>
      </c>
      <c r="G82" s="223"/>
      <c r="H82" s="440"/>
      <c r="I82" s="440"/>
      <c r="J82" s="440"/>
      <c r="K82" s="441"/>
      <c r="L82" s="439"/>
      <c r="M82" s="437"/>
      <c r="N82" s="437"/>
      <c r="O82" s="437"/>
      <c r="P82" s="437"/>
      <c r="Q82" s="437"/>
      <c r="R82" s="437"/>
      <c r="S82" s="437"/>
      <c r="T82" s="437"/>
      <c r="U82" s="437"/>
      <c r="V82" s="437"/>
      <c r="W82" s="437"/>
      <c r="X82" s="438"/>
      <c r="Y82" s="438"/>
    </row>
    <row r="83" spans="1:26" customHeight="1" ht="18" s="435" customFormat="1">
      <c r="B83" s="33"/>
      <c r="C83" s="43" t="s">
        <v>227</v>
      </c>
      <c r="D83" s="33"/>
      <c r="E83" s="33"/>
      <c r="F83" s="439">
        <v>200000</v>
      </c>
      <c r="G83" s="223"/>
      <c r="H83" s="440"/>
      <c r="I83" s="440"/>
      <c r="J83" s="440"/>
      <c r="K83" s="441"/>
      <c r="L83" s="439"/>
      <c r="M83" s="437"/>
      <c r="N83" s="437"/>
      <c r="O83" s="437"/>
      <c r="P83" s="437"/>
      <c r="Q83" s="437"/>
      <c r="R83" s="437"/>
      <c r="S83" s="437"/>
      <c r="T83" s="437"/>
      <c r="U83" s="437"/>
      <c r="V83" s="437"/>
      <c r="W83" s="437"/>
      <c r="X83" s="438"/>
      <c r="Y83" s="438"/>
    </row>
    <row r="84" spans="1:26" customHeight="1" ht="18" s="435" customFormat="1">
      <c r="B84" s="33"/>
      <c r="C84" s="43" t="s">
        <v>228</v>
      </c>
      <c r="D84" s="33"/>
      <c r="E84" s="33"/>
      <c r="F84" s="439">
        <v>200000</v>
      </c>
      <c r="G84" s="223"/>
      <c r="H84" s="440"/>
      <c r="I84" s="440"/>
      <c r="J84" s="440"/>
      <c r="K84" s="441"/>
      <c r="L84" s="439"/>
      <c r="M84" s="437"/>
      <c r="N84" s="437"/>
      <c r="O84" s="437"/>
      <c r="P84" s="437"/>
      <c r="Q84" s="437"/>
      <c r="R84" s="437"/>
      <c r="S84" s="437"/>
      <c r="T84" s="437"/>
      <c r="U84" s="437"/>
      <c r="V84" s="437"/>
      <c r="W84" s="437"/>
      <c r="X84" s="438"/>
      <c r="Y84" s="438"/>
    </row>
    <row r="85" spans="1:26" customHeight="1" ht="18" s="435" customFormat="1">
      <c r="B85" s="33"/>
      <c r="C85" s="43" t="s">
        <v>229</v>
      </c>
      <c r="D85" s="33"/>
      <c r="E85" s="33"/>
      <c r="F85" s="439">
        <v>200000</v>
      </c>
      <c r="G85" s="223"/>
      <c r="H85" s="440"/>
      <c r="I85" s="440"/>
      <c r="J85" s="440"/>
      <c r="K85" s="441"/>
      <c r="L85" s="439"/>
      <c r="M85" s="437"/>
      <c r="N85" s="437"/>
      <c r="O85" s="437"/>
      <c r="P85" s="437"/>
      <c r="Q85" s="437"/>
      <c r="R85" s="437"/>
      <c r="S85" s="437"/>
      <c r="T85" s="437"/>
      <c r="U85" s="437"/>
      <c r="V85" s="437"/>
      <c r="W85" s="437"/>
      <c r="X85" s="438"/>
      <c r="Y85" s="438"/>
    </row>
    <row r="86" spans="1:26" customHeight="1" ht="18" s="435" customFormat="1">
      <c r="B86" s="33"/>
      <c r="C86" s="43" t="s">
        <v>230</v>
      </c>
      <c r="D86" s="33"/>
      <c r="E86" s="33"/>
      <c r="F86" s="439">
        <v>200000</v>
      </c>
      <c r="G86" s="223"/>
      <c r="H86" s="440"/>
      <c r="I86" s="440"/>
      <c r="J86" s="440"/>
      <c r="K86" s="441"/>
      <c r="L86" s="439"/>
      <c r="M86" s="437"/>
      <c r="N86" s="437"/>
      <c r="O86" s="437"/>
      <c r="P86" s="437"/>
      <c r="Q86" s="437"/>
      <c r="R86" s="437"/>
      <c r="S86" s="437"/>
      <c r="T86" s="437"/>
      <c r="U86" s="437"/>
      <c r="V86" s="437"/>
      <c r="W86" s="437"/>
      <c r="X86" s="438"/>
      <c r="Y86" s="438"/>
    </row>
    <row r="87" spans="1:26" customHeight="1" ht="18" s="435" customFormat="1">
      <c r="B87" s="33"/>
      <c r="C87" s="43" t="s">
        <v>231</v>
      </c>
      <c r="D87" s="33"/>
      <c r="E87" s="33"/>
      <c r="F87" s="439">
        <v>100000</v>
      </c>
      <c r="G87" s="223"/>
      <c r="H87" s="440"/>
      <c r="I87" s="440"/>
      <c r="J87" s="440"/>
      <c r="K87" s="441"/>
      <c r="L87" s="439"/>
      <c r="M87" s="437"/>
      <c r="N87" s="437"/>
      <c r="O87" s="437"/>
      <c r="P87" s="437"/>
      <c r="Q87" s="437"/>
      <c r="R87" s="437"/>
      <c r="S87" s="437"/>
      <c r="T87" s="437"/>
      <c r="U87" s="437"/>
      <c r="V87" s="437"/>
      <c r="W87" s="437"/>
      <c r="X87" s="438"/>
      <c r="Y87" s="438"/>
    </row>
    <row r="88" spans="1:26" customHeight="1" ht="18" s="40" customFormat="1">
      <c r="B88" s="33"/>
      <c r="C88" s="43" t="s">
        <v>232</v>
      </c>
      <c r="D88" s="33"/>
      <c r="E88" s="33"/>
      <c r="F88" s="449">
        <v>100000</v>
      </c>
      <c r="G88" s="223"/>
      <c r="H88" s="443">
        <v>0</v>
      </c>
      <c r="I88" s="443">
        <v>0</v>
      </c>
      <c r="J88" s="443">
        <v>0</v>
      </c>
      <c r="K88" s="450">
        <v>0</v>
      </c>
      <c r="L88" s="449">
        <v>0</v>
      </c>
      <c r="M88" s="406"/>
      <c r="N88" s="406"/>
      <c r="O88" s="406"/>
      <c r="P88" s="406"/>
      <c r="Q88" s="406"/>
      <c r="R88" s="406"/>
      <c r="S88" s="406"/>
      <c r="T88" s="406"/>
      <c r="U88" s="406"/>
      <c r="V88" s="406"/>
      <c r="W88" s="406"/>
      <c r="X88" s="412"/>
      <c r="Y88" s="412"/>
    </row>
    <row r="89" spans="1:26" customHeight="1" ht="18" s="40" customFormat="1">
      <c r="A89" s="445" t="s">
        <v>233</v>
      </c>
      <c r="B89" s="163"/>
      <c r="C89" s="163"/>
      <c r="D89" s="163"/>
      <c r="E89" s="163"/>
      <c r="F89" s="163"/>
      <c r="G89" s="446"/>
      <c r="H89" s="447">
        <f>SUM(H73:H88)</f>
        <v>904475.65</v>
      </c>
      <c r="I89" s="447">
        <f>SUM(I73:I88)</f>
        <v>591680.29</v>
      </c>
      <c r="J89" s="447">
        <f>SUM(J73:J88)</f>
        <v>3378319.71</v>
      </c>
      <c r="K89" s="447">
        <f>SUM(K73:K88)</f>
        <v>3970000</v>
      </c>
      <c r="L89" s="448">
        <f>SUM(L73:L88)</f>
        <v>3200000</v>
      </c>
      <c r="M89" s="406"/>
      <c r="N89" s="406"/>
      <c r="O89" s="406"/>
      <c r="P89" s="406"/>
      <c r="Q89" s="406"/>
      <c r="R89" s="406"/>
      <c r="S89" s="406"/>
      <c r="T89" s="406"/>
      <c r="U89" s="406"/>
      <c r="V89" s="406"/>
      <c r="W89" s="406"/>
      <c r="X89" s="412"/>
      <c r="Y89" s="412"/>
    </row>
    <row r="90" spans="1:26" customHeight="1" ht="18" s="434" customFormat="1">
      <c r="A90" s="430" t="s">
        <v>217</v>
      </c>
      <c r="B90" s="402"/>
      <c r="C90" s="402"/>
      <c r="D90" s="402"/>
      <c r="E90" s="402"/>
      <c r="F90" s="402"/>
      <c r="G90" s="223"/>
      <c r="H90" s="431"/>
      <c r="I90" s="431"/>
      <c r="J90" s="431"/>
      <c r="K90" s="404"/>
      <c r="L90" s="405"/>
      <c r="M90" s="432"/>
      <c r="N90" s="432"/>
      <c r="O90" s="432"/>
      <c r="P90" s="432"/>
      <c r="Q90" s="432"/>
      <c r="R90" s="432"/>
      <c r="S90" s="432"/>
      <c r="T90" s="432"/>
      <c r="U90" s="432"/>
      <c r="V90" s="432"/>
      <c r="W90" s="432"/>
      <c r="X90" s="433"/>
      <c r="Y90" s="433"/>
    </row>
    <row r="91" spans="1:26" customHeight="1" ht="18" s="40" customFormat="1">
      <c r="B91" s="33" t="s">
        <v>235</v>
      </c>
      <c r="C91" s="33"/>
      <c r="D91" s="33"/>
      <c r="E91" s="33"/>
      <c r="F91" s="451"/>
      <c r="G91" s="223" t="s">
        <v>80</v>
      </c>
      <c r="H91" s="452">
        <v>723360</v>
      </c>
      <c r="I91" s="452">
        <f>279900+39000+79380+44800</f>
        <v>443080</v>
      </c>
      <c r="J91" s="413">
        <f>K91-I91</f>
        <v>1975420</v>
      </c>
      <c r="K91" s="404">
        <v>2418500</v>
      </c>
      <c r="L91" s="405">
        <f>SUM(F92:F106)</f>
        <v>2555000</v>
      </c>
      <c r="M91" s="406"/>
      <c r="N91" s="406"/>
      <c r="O91" s="406"/>
      <c r="P91" s="406"/>
      <c r="Q91" s="406"/>
      <c r="R91" s="406"/>
      <c r="S91" s="406"/>
      <c r="T91" s="406"/>
      <c r="U91" s="406"/>
      <c r="V91" s="406"/>
      <c r="W91" s="406"/>
      <c r="X91" s="412"/>
      <c r="Y91" s="412"/>
    </row>
    <row r="92" spans="1:26" customHeight="1" ht="18" s="435" customFormat="1">
      <c r="B92" s="33"/>
      <c r="C92" s="43" t="s">
        <v>218</v>
      </c>
      <c r="D92" s="33"/>
      <c r="E92" s="33"/>
      <c r="F92" s="439">
        <v>700000</v>
      </c>
      <c r="G92" s="223"/>
      <c r="H92" s="223"/>
      <c r="I92" s="223"/>
      <c r="J92" s="223"/>
      <c r="K92" s="441"/>
      <c r="L92" s="439"/>
      <c r="M92" s="437"/>
      <c r="N92" s="437">
        <f>SUM(L92:L106)</f>
        <v>0</v>
      </c>
      <c r="O92" s="437"/>
      <c r="P92" s="437"/>
      <c r="Q92" s="437"/>
      <c r="R92" s="437"/>
      <c r="S92" s="437"/>
      <c r="T92" s="437"/>
      <c r="U92" s="437"/>
      <c r="V92" s="437"/>
      <c r="W92" s="437"/>
      <c r="X92" s="438"/>
      <c r="Y92" s="438"/>
    </row>
    <row r="93" spans="1:26" customHeight="1" ht="18" s="435" customFormat="1">
      <c r="B93" s="33"/>
      <c r="C93" s="43" t="s">
        <v>219</v>
      </c>
      <c r="D93" s="33"/>
      <c r="E93" s="33"/>
      <c r="F93" s="439">
        <v>150000</v>
      </c>
      <c r="G93" s="223"/>
      <c r="H93" s="223"/>
      <c r="I93" s="223"/>
      <c r="J93" s="223"/>
      <c r="K93" s="441"/>
      <c r="L93" s="439"/>
      <c r="M93" s="437"/>
      <c r="N93" s="437"/>
      <c r="O93" s="437"/>
      <c r="P93" s="437"/>
      <c r="Q93" s="437"/>
      <c r="R93" s="437"/>
      <c r="S93" s="437"/>
      <c r="T93" s="437"/>
      <c r="U93" s="437"/>
      <c r="V93" s="437"/>
      <c r="W93" s="437"/>
      <c r="X93" s="438"/>
      <c r="Y93" s="438"/>
    </row>
    <row r="94" spans="1:26" customHeight="1" ht="18" s="435" customFormat="1">
      <c r="B94" s="33"/>
      <c r="C94" s="43" t="s">
        <v>220</v>
      </c>
      <c r="D94" s="33"/>
      <c r="E94" s="33"/>
      <c r="F94" s="439">
        <v>150000</v>
      </c>
      <c r="G94" s="223"/>
      <c r="H94" s="223"/>
      <c r="I94" s="223"/>
      <c r="J94" s="223"/>
      <c r="K94" s="441"/>
      <c r="L94" s="439"/>
      <c r="M94" s="437"/>
      <c r="N94" s="437"/>
      <c r="O94" s="437"/>
      <c r="P94" s="437"/>
      <c r="Q94" s="437"/>
      <c r="R94" s="437"/>
      <c r="S94" s="437"/>
      <c r="T94" s="437"/>
      <c r="U94" s="437"/>
      <c r="V94" s="437"/>
      <c r="W94" s="437"/>
      <c r="X94" s="438"/>
      <c r="Y94" s="438"/>
    </row>
    <row r="95" spans="1:26" customHeight="1" ht="18" s="435" customFormat="1">
      <c r="B95" s="33"/>
      <c r="C95" s="43" t="s">
        <v>221</v>
      </c>
      <c r="D95" s="33"/>
      <c r="E95" s="33"/>
      <c r="F95" s="439">
        <v>150000</v>
      </c>
      <c r="G95" s="223"/>
      <c r="H95" s="223"/>
      <c r="I95" s="223"/>
      <c r="J95" s="223"/>
      <c r="K95" s="441"/>
      <c r="L95" s="439"/>
      <c r="M95" s="437"/>
      <c r="N95" s="437"/>
      <c r="O95" s="437"/>
      <c r="P95" s="437"/>
      <c r="Q95" s="437"/>
      <c r="R95" s="437"/>
      <c r="S95" s="437"/>
      <c r="T95" s="437"/>
      <c r="U95" s="437"/>
      <c r="V95" s="437"/>
      <c r="W95" s="437"/>
      <c r="X95" s="438"/>
      <c r="Y95" s="438"/>
    </row>
    <row r="96" spans="1:26" customHeight="1" ht="18" s="435" customFormat="1">
      <c r="B96" s="33"/>
      <c r="C96" s="43" t="s">
        <v>222</v>
      </c>
      <c r="D96" s="33"/>
      <c r="E96" s="33"/>
      <c r="F96" s="439">
        <v>150000</v>
      </c>
      <c r="G96" s="223"/>
      <c r="H96" s="223"/>
      <c r="I96" s="223"/>
      <c r="J96" s="223"/>
      <c r="K96" s="441"/>
      <c r="L96" s="439"/>
      <c r="M96" s="437"/>
      <c r="N96" s="437"/>
      <c r="O96" s="437"/>
      <c r="P96" s="437"/>
      <c r="Q96" s="437"/>
      <c r="R96" s="437"/>
      <c r="S96" s="437"/>
      <c r="T96" s="437"/>
      <c r="U96" s="437"/>
      <c r="V96" s="437"/>
      <c r="W96" s="437"/>
      <c r="X96" s="438"/>
      <c r="Y96" s="438"/>
    </row>
    <row r="97" spans="1:26" customHeight="1" ht="18" s="435" customFormat="1">
      <c r="B97" s="33"/>
      <c r="C97" s="43" t="s">
        <v>223</v>
      </c>
      <c r="D97" s="33"/>
      <c r="E97" s="33"/>
      <c r="F97" s="439">
        <v>150000</v>
      </c>
      <c r="G97" s="223"/>
      <c r="H97" s="223"/>
      <c r="I97" s="223"/>
      <c r="J97" s="223"/>
      <c r="K97" s="441"/>
      <c r="L97" s="439"/>
      <c r="M97" s="437"/>
      <c r="N97" s="437"/>
      <c r="O97" s="437"/>
      <c r="P97" s="437"/>
      <c r="Q97" s="437"/>
      <c r="R97" s="437"/>
      <c r="S97" s="437"/>
      <c r="T97" s="437"/>
      <c r="U97" s="437"/>
      <c r="V97" s="437"/>
      <c r="W97" s="437"/>
      <c r="X97" s="438"/>
      <c r="Y97" s="438"/>
    </row>
    <row r="98" spans="1:26" customHeight="1" ht="18" s="435" customFormat="1">
      <c r="B98" s="33"/>
      <c r="C98" s="43" t="s">
        <v>224</v>
      </c>
      <c r="D98" s="33"/>
      <c r="E98" s="33"/>
      <c r="F98" s="439">
        <v>150000</v>
      </c>
      <c r="G98" s="223"/>
      <c r="H98" s="223"/>
      <c r="I98" s="223"/>
      <c r="J98" s="223"/>
      <c r="K98" s="441"/>
      <c r="L98" s="439"/>
      <c r="M98" s="437"/>
      <c r="N98" s="437"/>
      <c r="O98" s="437"/>
      <c r="P98" s="437"/>
      <c r="Q98" s="437"/>
      <c r="R98" s="437"/>
      <c r="S98" s="437"/>
      <c r="T98" s="437"/>
      <c r="U98" s="437"/>
      <c r="V98" s="437"/>
      <c r="W98" s="437"/>
      <c r="X98" s="438"/>
      <c r="Y98" s="438"/>
    </row>
    <row r="99" spans="1:26" customHeight="1" ht="18" s="435" customFormat="1">
      <c r="B99" s="33"/>
      <c r="C99" s="43" t="s">
        <v>225</v>
      </c>
      <c r="D99" s="33"/>
      <c r="E99" s="33"/>
      <c r="F99" s="439">
        <v>150000</v>
      </c>
      <c r="G99" s="223"/>
      <c r="H99" s="223"/>
      <c r="I99" s="223"/>
      <c r="J99" s="223"/>
      <c r="K99" s="441"/>
      <c r="L99" s="439"/>
      <c r="M99" s="437"/>
      <c r="N99" s="437"/>
      <c r="O99" s="437"/>
      <c r="P99" s="437"/>
      <c r="Q99" s="437"/>
      <c r="R99" s="437"/>
      <c r="S99" s="437"/>
      <c r="T99" s="437"/>
      <c r="U99" s="437"/>
      <c r="V99" s="437"/>
      <c r="W99" s="437"/>
      <c r="X99" s="438"/>
      <c r="Y99" s="438"/>
    </row>
    <row r="100" spans="1:26" customHeight="1" ht="18" s="435" customFormat="1">
      <c r="B100" s="33"/>
      <c r="C100" s="43" t="s">
        <v>226</v>
      </c>
      <c r="D100" s="33"/>
      <c r="E100" s="33"/>
      <c r="F100" s="439">
        <v>150000</v>
      </c>
      <c r="G100" s="223"/>
      <c r="H100" s="223"/>
      <c r="I100" s="223"/>
      <c r="J100" s="223"/>
      <c r="K100" s="441"/>
      <c r="L100" s="439"/>
      <c r="M100" s="437"/>
      <c r="N100" s="437"/>
      <c r="O100" s="437"/>
      <c r="P100" s="437"/>
      <c r="Q100" s="437"/>
      <c r="R100" s="437"/>
      <c r="S100" s="437"/>
      <c r="T100" s="437"/>
      <c r="U100" s="437"/>
      <c r="V100" s="437"/>
      <c r="W100" s="437"/>
      <c r="X100" s="438"/>
      <c r="Y100" s="438"/>
    </row>
    <row r="101" spans="1:26" customHeight="1" ht="18" s="435" customFormat="1">
      <c r="B101" s="33"/>
      <c r="C101" s="43" t="s">
        <v>227</v>
      </c>
      <c r="D101" s="33"/>
      <c r="E101" s="33"/>
      <c r="F101" s="439">
        <v>150000</v>
      </c>
      <c r="G101" s="223"/>
      <c r="H101" s="223"/>
      <c r="I101" s="223"/>
      <c r="J101" s="223"/>
      <c r="K101" s="441"/>
      <c r="L101" s="439"/>
      <c r="M101" s="437"/>
      <c r="N101" s="437"/>
      <c r="O101" s="437"/>
      <c r="P101" s="437"/>
      <c r="Q101" s="437"/>
      <c r="R101" s="437"/>
      <c r="S101" s="437"/>
      <c r="T101" s="437"/>
      <c r="U101" s="437"/>
      <c r="V101" s="437"/>
      <c r="W101" s="437"/>
      <c r="X101" s="438"/>
      <c r="Y101" s="438"/>
    </row>
    <row r="102" spans="1:26" customHeight="1" ht="18" s="435" customFormat="1">
      <c r="B102" s="33"/>
      <c r="C102" s="43" t="s">
        <v>228</v>
      </c>
      <c r="D102" s="33"/>
      <c r="E102" s="33"/>
      <c r="F102" s="439">
        <v>150000</v>
      </c>
      <c r="G102" s="223"/>
      <c r="H102" s="223"/>
      <c r="I102" s="223"/>
      <c r="J102" s="223"/>
      <c r="K102" s="441"/>
      <c r="L102" s="439"/>
      <c r="M102" s="437"/>
      <c r="N102" s="437"/>
      <c r="O102" s="437"/>
      <c r="P102" s="437"/>
      <c r="Q102" s="437"/>
      <c r="R102" s="437"/>
      <c r="S102" s="437"/>
      <c r="T102" s="437"/>
      <c r="U102" s="437"/>
      <c r="V102" s="437"/>
      <c r="W102" s="437"/>
      <c r="X102" s="438"/>
      <c r="Y102" s="438"/>
    </row>
    <row r="103" spans="1:26" customHeight="1" ht="18" s="435" customFormat="1">
      <c r="B103" s="33"/>
      <c r="C103" s="43" t="s">
        <v>229</v>
      </c>
      <c r="D103" s="33"/>
      <c r="E103" s="33"/>
      <c r="F103" s="439">
        <v>100000</v>
      </c>
      <c r="G103" s="223"/>
      <c r="H103" s="223"/>
      <c r="I103" s="223"/>
      <c r="J103" s="223"/>
      <c r="K103" s="441"/>
      <c r="L103" s="439"/>
      <c r="M103" s="437"/>
      <c r="N103" s="437"/>
      <c r="O103" s="437"/>
      <c r="P103" s="437"/>
      <c r="Q103" s="437"/>
      <c r="R103" s="437"/>
      <c r="S103" s="437"/>
      <c r="T103" s="437"/>
      <c r="U103" s="437"/>
      <c r="V103" s="437"/>
      <c r="W103" s="437"/>
      <c r="X103" s="438"/>
      <c r="Y103" s="438"/>
    </row>
    <row r="104" spans="1:26" customHeight="1" ht="18" s="435" customFormat="1">
      <c r="B104" s="33"/>
      <c r="C104" s="43" t="s">
        <v>230</v>
      </c>
      <c r="D104" s="33"/>
      <c r="E104" s="33"/>
      <c r="F104" s="439">
        <v>100000</v>
      </c>
      <c r="G104" s="223"/>
      <c r="H104" s="223"/>
      <c r="I104" s="223"/>
      <c r="J104" s="223"/>
      <c r="K104" s="441"/>
      <c r="L104" s="439"/>
      <c r="M104" s="437"/>
      <c r="N104" s="437"/>
      <c r="O104" s="437"/>
      <c r="P104" s="437"/>
      <c r="Q104" s="437"/>
      <c r="R104" s="437"/>
      <c r="S104" s="437"/>
      <c r="T104" s="437"/>
      <c r="U104" s="437"/>
      <c r="V104" s="437"/>
      <c r="W104" s="437"/>
      <c r="X104" s="438"/>
      <c r="Y104" s="438"/>
    </row>
    <row r="105" spans="1:26" customHeight="1" ht="18" s="435" customFormat="1">
      <c r="B105" s="33"/>
      <c r="C105" s="43" t="s">
        <v>231</v>
      </c>
      <c r="D105" s="33"/>
      <c r="E105" s="33"/>
      <c r="F105" s="439">
        <v>105000</v>
      </c>
      <c r="G105" s="223"/>
      <c r="H105" s="223"/>
      <c r="I105" s="223"/>
      <c r="J105" s="223"/>
      <c r="K105" s="441"/>
      <c r="L105" s="439"/>
      <c r="M105" s="437"/>
      <c r="N105" s="437"/>
      <c r="O105" s="437"/>
      <c r="P105" s="437"/>
      <c r="Q105" s="437"/>
      <c r="R105" s="437"/>
      <c r="S105" s="437"/>
      <c r="T105" s="437"/>
      <c r="U105" s="437"/>
      <c r="V105" s="437"/>
      <c r="W105" s="437"/>
      <c r="X105" s="438"/>
      <c r="Y105" s="438"/>
    </row>
    <row r="106" spans="1:26" customHeight="1" ht="18" s="40" customFormat="1">
      <c r="B106" s="33"/>
      <c r="C106" s="43" t="s">
        <v>232</v>
      </c>
      <c r="D106" s="33"/>
      <c r="E106" s="33"/>
      <c r="F106" s="449">
        <v>50000</v>
      </c>
      <c r="G106" s="223"/>
      <c r="H106" s="443">
        <v>0</v>
      </c>
      <c r="I106" s="443">
        <v>0</v>
      </c>
      <c r="J106" s="443">
        <v>0</v>
      </c>
      <c r="K106" s="450">
        <v>0</v>
      </c>
      <c r="L106" s="449">
        <v>0</v>
      </c>
      <c r="M106" s="406"/>
      <c r="N106" s="406"/>
      <c r="O106" s="406"/>
      <c r="P106" s="406"/>
      <c r="Q106" s="406"/>
      <c r="R106" s="406"/>
      <c r="S106" s="406"/>
      <c r="T106" s="406"/>
      <c r="U106" s="406"/>
      <c r="V106" s="406"/>
      <c r="W106" s="406"/>
      <c r="X106" s="412"/>
      <c r="Y106" s="412"/>
    </row>
    <row r="107" spans="1:26" customHeight="1" ht="18" s="40" customFormat="1">
      <c r="A107" s="445" t="s">
        <v>233</v>
      </c>
      <c r="B107" s="163"/>
      <c r="C107" s="163"/>
      <c r="D107" s="163"/>
      <c r="E107" s="163"/>
      <c r="F107" s="163"/>
      <c r="G107" s="446"/>
      <c r="H107" s="447">
        <f>SUM(H91:H106)</f>
        <v>723360</v>
      </c>
      <c r="I107" s="447">
        <f>SUM(I91:I106)</f>
        <v>443080</v>
      </c>
      <c r="J107" s="447">
        <f>SUM(J91:J106)</f>
        <v>1975420</v>
      </c>
      <c r="K107" s="447">
        <f>SUM(K91:K106)</f>
        <v>2418500</v>
      </c>
      <c r="L107" s="448">
        <f>SUM(L91:L106)</f>
        <v>2555000</v>
      </c>
      <c r="M107" s="406"/>
      <c r="N107" s="406"/>
      <c r="O107" s="406"/>
      <c r="P107" s="406"/>
      <c r="Q107" s="406"/>
      <c r="R107" s="406"/>
      <c r="S107" s="406"/>
      <c r="T107" s="406"/>
      <c r="U107" s="406"/>
      <c r="V107" s="406"/>
      <c r="W107" s="406"/>
      <c r="X107" s="412"/>
      <c r="Y107" s="412"/>
    </row>
    <row r="108" spans="1:26" customHeight="1" ht="18" s="434" customFormat="1">
      <c r="A108" s="430" t="s">
        <v>217</v>
      </c>
      <c r="B108" s="402"/>
      <c r="C108" s="402"/>
      <c r="D108" s="402"/>
      <c r="E108" s="402"/>
      <c r="F108" s="402"/>
      <c r="G108" s="223"/>
      <c r="H108" s="431"/>
      <c r="I108" s="431"/>
      <c r="J108" s="431"/>
      <c r="K108" s="404"/>
      <c r="L108" s="405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3"/>
    </row>
    <row r="109" spans="1:26" customHeight="1" ht="18" s="408" customFormat="1">
      <c r="B109" s="33" t="s">
        <v>81</v>
      </c>
      <c r="C109" s="33"/>
      <c r="D109" s="33"/>
      <c r="E109" s="33"/>
      <c r="F109" s="160"/>
      <c r="G109" s="208" t="s">
        <v>82</v>
      </c>
      <c r="H109" s="413">
        <v>233002.1</v>
      </c>
      <c r="I109" s="413">
        <f>20384+8030+37600+66776</f>
        <v>132790</v>
      </c>
      <c r="J109" s="413">
        <f>K109-I109</f>
        <v>3010210</v>
      </c>
      <c r="K109" s="404">
        <v>3143000</v>
      </c>
      <c r="L109" s="405">
        <f>SUM(F110:F124)</f>
        <v>2950000</v>
      </c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7"/>
      <c r="Y109" s="407"/>
    </row>
    <row r="110" spans="1:26" customHeight="1" ht="18" s="435" customFormat="1">
      <c r="B110" s="33"/>
      <c r="C110" s="43" t="s">
        <v>218</v>
      </c>
      <c r="D110" s="33"/>
      <c r="E110" s="33"/>
      <c r="F110" s="439">
        <v>400000</v>
      </c>
      <c r="G110" s="223"/>
      <c r="H110" s="223"/>
      <c r="I110" s="223"/>
      <c r="J110" s="223"/>
      <c r="K110" s="441"/>
      <c r="L110" s="439"/>
      <c r="M110" s="437"/>
      <c r="N110" s="437">
        <f>SUM(L110:L124)</f>
        <v>0</v>
      </c>
      <c r="O110" s="437"/>
      <c r="P110" s="437"/>
      <c r="Q110" s="437"/>
      <c r="R110" s="437"/>
      <c r="S110" s="437"/>
      <c r="T110" s="437"/>
      <c r="U110" s="437"/>
      <c r="V110" s="437"/>
      <c r="W110" s="437"/>
      <c r="X110" s="438"/>
      <c r="Y110" s="438"/>
    </row>
    <row r="111" spans="1:26" customHeight="1" ht="18" s="435" customFormat="1">
      <c r="B111" s="33"/>
      <c r="C111" s="43" t="s">
        <v>219</v>
      </c>
      <c r="D111" s="33"/>
      <c r="E111" s="33"/>
      <c r="F111" s="439">
        <v>200000</v>
      </c>
      <c r="G111" s="223"/>
      <c r="H111" s="223"/>
      <c r="I111" s="223"/>
      <c r="J111" s="223"/>
      <c r="K111" s="441"/>
      <c r="L111" s="439"/>
      <c r="M111" s="437"/>
      <c r="N111" s="437"/>
      <c r="O111" s="437"/>
      <c r="P111" s="437"/>
      <c r="Q111" s="437"/>
      <c r="R111" s="437"/>
      <c r="S111" s="437"/>
      <c r="T111" s="437"/>
      <c r="U111" s="437"/>
      <c r="V111" s="437"/>
      <c r="W111" s="437"/>
      <c r="X111" s="438"/>
      <c r="Y111" s="438"/>
    </row>
    <row r="112" spans="1:26" customHeight="1" ht="18" s="435" customFormat="1">
      <c r="B112" s="33"/>
      <c r="C112" s="43" t="s">
        <v>220</v>
      </c>
      <c r="D112" s="33"/>
      <c r="E112" s="33"/>
      <c r="F112" s="439">
        <v>200000</v>
      </c>
      <c r="G112" s="223"/>
      <c r="H112" s="223"/>
      <c r="I112" s="223"/>
      <c r="J112" s="223"/>
      <c r="K112" s="441"/>
      <c r="L112" s="439"/>
      <c r="M112" s="437"/>
      <c r="N112" s="437"/>
      <c r="O112" s="437"/>
      <c r="P112" s="437"/>
      <c r="Q112" s="437"/>
      <c r="R112" s="437"/>
      <c r="S112" s="437"/>
      <c r="T112" s="437"/>
      <c r="U112" s="437"/>
      <c r="V112" s="437"/>
      <c r="W112" s="437"/>
      <c r="X112" s="438"/>
      <c r="Y112" s="438"/>
    </row>
    <row r="113" spans="1:26" customHeight="1" ht="18" s="435" customFormat="1">
      <c r="B113" s="33"/>
      <c r="C113" s="43" t="s">
        <v>221</v>
      </c>
      <c r="D113" s="33"/>
      <c r="E113" s="33"/>
      <c r="F113" s="439">
        <v>200000</v>
      </c>
      <c r="G113" s="223"/>
      <c r="H113" s="223"/>
      <c r="I113" s="223"/>
      <c r="J113" s="223"/>
      <c r="K113" s="441"/>
      <c r="L113" s="439"/>
      <c r="M113" s="437"/>
      <c r="N113" s="437"/>
      <c r="O113" s="437"/>
      <c r="P113" s="437"/>
      <c r="Q113" s="437"/>
      <c r="R113" s="437"/>
      <c r="S113" s="437"/>
      <c r="T113" s="437"/>
      <c r="U113" s="437"/>
      <c r="V113" s="437"/>
      <c r="W113" s="437"/>
      <c r="X113" s="438"/>
      <c r="Y113" s="438"/>
    </row>
    <row r="114" spans="1:26" customHeight="1" ht="18" s="435" customFormat="1">
      <c r="B114" s="33"/>
      <c r="C114" s="43" t="s">
        <v>222</v>
      </c>
      <c r="D114" s="33"/>
      <c r="E114" s="33"/>
      <c r="F114" s="439">
        <v>200000</v>
      </c>
      <c r="G114" s="223"/>
      <c r="H114" s="223"/>
      <c r="I114" s="223"/>
      <c r="J114" s="223"/>
      <c r="K114" s="441"/>
      <c r="L114" s="439"/>
      <c r="M114" s="437"/>
      <c r="N114" s="437"/>
      <c r="O114" s="437"/>
      <c r="P114" s="437"/>
      <c r="Q114" s="437"/>
      <c r="R114" s="437"/>
      <c r="S114" s="437"/>
      <c r="T114" s="437"/>
      <c r="U114" s="437"/>
      <c r="V114" s="437"/>
      <c r="W114" s="437"/>
      <c r="X114" s="438"/>
      <c r="Y114" s="438"/>
    </row>
    <row r="115" spans="1:26" customHeight="1" ht="18" s="435" customFormat="1">
      <c r="B115" s="33"/>
      <c r="C115" s="43" t="s">
        <v>223</v>
      </c>
      <c r="D115" s="33"/>
      <c r="E115" s="33"/>
      <c r="F115" s="439">
        <v>200000</v>
      </c>
      <c r="G115" s="223"/>
      <c r="H115" s="223"/>
      <c r="I115" s="223"/>
      <c r="J115" s="223"/>
      <c r="K115" s="441"/>
      <c r="L115" s="439"/>
      <c r="M115" s="437"/>
      <c r="N115" s="437"/>
      <c r="O115" s="437"/>
      <c r="P115" s="437"/>
      <c r="Q115" s="437"/>
      <c r="R115" s="437"/>
      <c r="S115" s="437"/>
      <c r="T115" s="437"/>
      <c r="U115" s="437"/>
      <c r="V115" s="437"/>
      <c r="W115" s="437"/>
      <c r="X115" s="438"/>
      <c r="Y115" s="438"/>
    </row>
    <row r="116" spans="1:26" customHeight="1" ht="18" s="435" customFormat="1">
      <c r="B116" s="33"/>
      <c r="C116" s="43" t="s">
        <v>224</v>
      </c>
      <c r="D116" s="33"/>
      <c r="E116" s="33"/>
      <c r="F116" s="439">
        <v>200000</v>
      </c>
      <c r="G116" s="223"/>
      <c r="H116" s="223"/>
      <c r="I116" s="223"/>
      <c r="J116" s="223"/>
      <c r="K116" s="441"/>
      <c r="L116" s="439"/>
      <c r="M116" s="437"/>
      <c r="N116" s="437"/>
      <c r="O116" s="437"/>
      <c r="P116" s="437"/>
      <c r="Q116" s="437"/>
      <c r="R116" s="437"/>
      <c r="S116" s="437"/>
      <c r="T116" s="437"/>
      <c r="U116" s="437"/>
      <c r="V116" s="437"/>
      <c r="W116" s="437"/>
      <c r="X116" s="438"/>
      <c r="Y116" s="438"/>
    </row>
    <row r="117" spans="1:26" customHeight="1" ht="18" s="435" customFormat="1">
      <c r="B117" s="33"/>
      <c r="C117" s="43" t="s">
        <v>225</v>
      </c>
      <c r="D117" s="33"/>
      <c r="E117" s="33"/>
      <c r="F117" s="439">
        <v>200000</v>
      </c>
      <c r="G117" s="223"/>
      <c r="H117" s="223"/>
      <c r="I117" s="223"/>
      <c r="J117" s="223"/>
      <c r="K117" s="441"/>
      <c r="L117" s="439"/>
      <c r="M117" s="437"/>
      <c r="N117" s="437"/>
      <c r="O117" s="437"/>
      <c r="P117" s="437"/>
      <c r="Q117" s="437"/>
      <c r="R117" s="437"/>
      <c r="S117" s="437"/>
      <c r="T117" s="437"/>
      <c r="U117" s="437"/>
      <c r="V117" s="437"/>
      <c r="W117" s="437"/>
      <c r="X117" s="438"/>
      <c r="Y117" s="438"/>
    </row>
    <row r="118" spans="1:26" customHeight="1" ht="18" s="435" customFormat="1">
      <c r="B118" s="33"/>
      <c r="C118" s="43" t="s">
        <v>226</v>
      </c>
      <c r="D118" s="33"/>
      <c r="E118" s="33"/>
      <c r="F118" s="439">
        <v>200000</v>
      </c>
      <c r="G118" s="223"/>
      <c r="H118" s="223"/>
      <c r="I118" s="223"/>
      <c r="J118" s="223"/>
      <c r="K118" s="441"/>
      <c r="L118" s="439"/>
      <c r="M118" s="437"/>
      <c r="N118" s="437"/>
      <c r="O118" s="437"/>
      <c r="P118" s="437"/>
      <c r="Q118" s="437"/>
      <c r="R118" s="437"/>
      <c r="S118" s="437"/>
      <c r="T118" s="437"/>
      <c r="U118" s="437"/>
      <c r="V118" s="437"/>
      <c r="W118" s="437"/>
      <c r="X118" s="438"/>
      <c r="Y118" s="438"/>
    </row>
    <row r="119" spans="1:26" customHeight="1" ht="18" s="435" customFormat="1">
      <c r="B119" s="33"/>
      <c r="C119" s="43" t="s">
        <v>227</v>
      </c>
      <c r="D119" s="33"/>
      <c r="E119" s="33"/>
      <c r="F119" s="439">
        <v>200000</v>
      </c>
      <c r="G119" s="223"/>
      <c r="H119" s="223"/>
      <c r="I119" s="223"/>
      <c r="J119" s="223"/>
      <c r="K119" s="441"/>
      <c r="L119" s="439"/>
      <c r="M119" s="437"/>
      <c r="N119" s="437"/>
      <c r="O119" s="437"/>
      <c r="P119" s="437"/>
      <c r="Q119" s="437"/>
      <c r="R119" s="437"/>
      <c r="S119" s="437"/>
      <c r="T119" s="437"/>
      <c r="U119" s="437"/>
      <c r="V119" s="437"/>
      <c r="W119" s="437"/>
      <c r="X119" s="438"/>
      <c r="Y119" s="438"/>
    </row>
    <row r="120" spans="1:26" customHeight="1" ht="18" s="435" customFormat="1">
      <c r="B120" s="33"/>
      <c r="C120" s="43" t="s">
        <v>228</v>
      </c>
      <c r="D120" s="33"/>
      <c r="E120" s="33"/>
      <c r="F120" s="439">
        <v>200000</v>
      </c>
      <c r="G120" s="223"/>
      <c r="H120" s="223"/>
      <c r="I120" s="223"/>
      <c r="J120" s="223"/>
      <c r="K120" s="441"/>
      <c r="L120" s="439"/>
      <c r="M120" s="437"/>
      <c r="N120" s="437"/>
      <c r="O120" s="437"/>
      <c r="P120" s="437"/>
      <c r="Q120" s="437"/>
      <c r="R120" s="437"/>
      <c r="S120" s="437"/>
      <c r="T120" s="437"/>
      <c r="U120" s="437"/>
      <c r="V120" s="437"/>
      <c r="W120" s="437"/>
      <c r="X120" s="438"/>
      <c r="Y120" s="438"/>
    </row>
    <row r="121" spans="1:26" customHeight="1" ht="18" s="435" customFormat="1">
      <c r="B121" s="33"/>
      <c r="C121" s="43" t="s">
        <v>229</v>
      </c>
      <c r="D121" s="33"/>
      <c r="E121" s="33"/>
      <c r="F121" s="439">
        <v>200000</v>
      </c>
      <c r="G121" s="223"/>
      <c r="H121" s="223"/>
      <c r="I121" s="223"/>
      <c r="J121" s="223"/>
      <c r="K121" s="441"/>
      <c r="L121" s="439"/>
      <c r="M121" s="437"/>
      <c r="N121" s="437"/>
      <c r="O121" s="437"/>
      <c r="P121" s="437"/>
      <c r="Q121" s="437"/>
      <c r="R121" s="437"/>
      <c r="S121" s="437"/>
      <c r="T121" s="437"/>
      <c r="U121" s="437"/>
      <c r="V121" s="437"/>
      <c r="W121" s="437"/>
      <c r="X121" s="438"/>
      <c r="Y121" s="438"/>
    </row>
    <row r="122" spans="1:26" customHeight="1" ht="18" s="435" customFormat="1">
      <c r="B122" s="33"/>
      <c r="C122" s="43" t="s">
        <v>230</v>
      </c>
      <c r="D122" s="33"/>
      <c r="E122" s="33"/>
      <c r="F122" s="439">
        <v>200000</v>
      </c>
      <c r="G122" s="223"/>
      <c r="H122" s="223"/>
      <c r="I122" s="223"/>
      <c r="J122" s="223"/>
      <c r="K122" s="441"/>
      <c r="L122" s="439"/>
      <c r="M122" s="437"/>
      <c r="N122" s="437"/>
      <c r="O122" s="437"/>
      <c r="P122" s="437"/>
      <c r="Q122" s="437"/>
      <c r="R122" s="437"/>
      <c r="S122" s="437"/>
      <c r="T122" s="437"/>
      <c r="U122" s="437"/>
      <c r="V122" s="437"/>
      <c r="W122" s="437"/>
      <c r="X122" s="438"/>
      <c r="Y122" s="438"/>
    </row>
    <row r="123" spans="1:26" customHeight="1" ht="18" s="435" customFormat="1">
      <c r="B123" s="33"/>
      <c r="C123" s="43" t="s">
        <v>231</v>
      </c>
      <c r="D123" s="33"/>
      <c r="E123" s="33"/>
      <c r="F123" s="439">
        <v>100000</v>
      </c>
      <c r="G123" s="223"/>
      <c r="H123" s="223"/>
      <c r="I123" s="223"/>
      <c r="J123" s="223"/>
      <c r="K123" s="441"/>
      <c r="L123" s="439"/>
      <c r="M123" s="437"/>
      <c r="N123" s="437"/>
      <c r="O123" s="437"/>
      <c r="P123" s="437"/>
      <c r="Q123" s="437"/>
      <c r="R123" s="437"/>
      <c r="S123" s="437"/>
      <c r="T123" s="437"/>
      <c r="U123" s="437"/>
      <c r="V123" s="437"/>
      <c r="W123" s="437"/>
      <c r="X123" s="438"/>
      <c r="Y123" s="438"/>
    </row>
    <row r="124" spans="1:26" customHeight="1" ht="18" s="408" customFormat="1">
      <c r="B124" s="33"/>
      <c r="C124" s="43" t="s">
        <v>232</v>
      </c>
      <c r="D124" s="33"/>
      <c r="E124" s="33"/>
      <c r="F124" s="449">
        <v>50000</v>
      </c>
      <c r="G124" s="208"/>
      <c r="H124" s="443">
        <v>0</v>
      </c>
      <c r="I124" s="443">
        <v>0</v>
      </c>
      <c r="J124" s="443">
        <v>0</v>
      </c>
      <c r="K124" s="450">
        <v>0</v>
      </c>
      <c r="L124" s="449">
        <v>0</v>
      </c>
      <c r="M124" s="406"/>
      <c r="N124" s="406"/>
      <c r="O124" s="406"/>
      <c r="P124" s="406"/>
      <c r="Q124" s="406"/>
      <c r="R124" s="406"/>
      <c r="S124" s="406"/>
      <c r="T124" s="406"/>
      <c r="U124" s="406"/>
      <c r="V124" s="406"/>
      <c r="W124" s="406"/>
      <c r="X124" s="407"/>
      <c r="Y124" s="407"/>
    </row>
    <row r="125" spans="1:26" customHeight="1" ht="18" s="40" customFormat="1">
      <c r="A125" s="445" t="s">
        <v>233</v>
      </c>
      <c r="B125" s="163"/>
      <c r="C125" s="163"/>
      <c r="D125" s="163"/>
      <c r="E125" s="163"/>
      <c r="F125" s="163"/>
      <c r="G125" s="446"/>
      <c r="H125" s="447">
        <f>SUM(H109:H124)</f>
        <v>233002.1</v>
      </c>
      <c r="I125" s="447">
        <f>SUM(I109:I124)</f>
        <v>132790</v>
      </c>
      <c r="J125" s="447">
        <f>SUM(J109:J124)</f>
        <v>3010210</v>
      </c>
      <c r="K125" s="447">
        <f>SUM(K109:K124)</f>
        <v>3143000</v>
      </c>
      <c r="L125" s="448">
        <f>SUM(L109:L124)</f>
        <v>2950000</v>
      </c>
      <c r="M125" s="406"/>
      <c r="N125" s="406"/>
      <c r="O125" s="406"/>
      <c r="P125" s="406"/>
      <c r="Q125" s="406"/>
      <c r="R125" s="406"/>
      <c r="S125" s="406"/>
      <c r="T125" s="406"/>
      <c r="U125" s="406"/>
      <c r="V125" s="406"/>
      <c r="W125" s="406"/>
      <c r="X125" s="412"/>
      <c r="Y125" s="412"/>
    </row>
    <row r="126" spans="1:26" customHeight="1" ht="18" s="434" customFormat="1">
      <c r="A126" s="430" t="s">
        <v>217</v>
      </c>
      <c r="B126" s="402"/>
      <c r="C126" s="402"/>
      <c r="D126" s="402"/>
      <c r="E126" s="402"/>
      <c r="F126" s="402"/>
      <c r="G126" s="223"/>
      <c r="H126" s="431"/>
      <c r="I126" s="431"/>
      <c r="J126" s="431"/>
      <c r="K126" s="404"/>
      <c r="L126" s="405"/>
      <c r="M126" s="432"/>
      <c r="N126" s="432"/>
      <c r="O126" s="432"/>
      <c r="P126" s="432"/>
      <c r="Q126" s="432"/>
      <c r="R126" s="432"/>
      <c r="S126" s="432"/>
      <c r="T126" s="432"/>
      <c r="U126" s="432"/>
      <c r="V126" s="432"/>
      <c r="W126" s="432"/>
      <c r="X126" s="433"/>
      <c r="Y126" s="433"/>
    </row>
    <row r="127" spans="1:26" customHeight="1" ht="18" s="408" customFormat="1">
      <c r="B127" s="33" t="s">
        <v>236</v>
      </c>
      <c r="C127" s="33"/>
      <c r="D127" s="33"/>
      <c r="E127" s="33"/>
      <c r="F127" s="33"/>
      <c r="G127" s="208" t="s">
        <v>96</v>
      </c>
      <c r="H127" s="413">
        <v>385599.26</v>
      </c>
      <c r="I127" s="413">
        <f>24665.38+4206.51+4628.65+29143.21+30000+8583.19+11936.72+22146.19+12181.08+8299.9</f>
        <v>155790.83</v>
      </c>
      <c r="J127" s="413">
        <f>K127-I127</f>
        <v>688209.17</v>
      </c>
      <c r="K127" s="404">
        <v>844000</v>
      </c>
      <c r="L127" s="405">
        <f>SUM(F128:F142)</f>
        <v>920000</v>
      </c>
      <c r="M127" s="406"/>
      <c r="N127" s="406"/>
      <c r="O127" s="406"/>
      <c r="P127" s="406"/>
      <c r="Q127" s="406"/>
      <c r="R127" s="406"/>
      <c r="S127" s="406"/>
      <c r="T127" s="406"/>
      <c r="U127" s="406"/>
      <c r="V127" s="406"/>
      <c r="W127" s="406"/>
      <c r="X127" s="407"/>
      <c r="Y127" s="407"/>
    </row>
    <row r="128" spans="1:26" customHeight="1" ht="18" s="435" customFormat="1">
      <c r="B128" s="33"/>
      <c r="C128" s="43" t="s">
        <v>218</v>
      </c>
      <c r="D128" s="33"/>
      <c r="E128" s="33"/>
      <c r="F128" s="439">
        <v>80000</v>
      </c>
      <c r="G128" s="223"/>
      <c r="H128" s="440"/>
      <c r="I128" s="440"/>
      <c r="J128" s="440"/>
      <c r="K128" s="441"/>
      <c r="L128" s="439"/>
      <c r="M128" s="437"/>
      <c r="N128" s="437">
        <f>SUM(L128:L142)</f>
        <v>0</v>
      </c>
      <c r="O128" s="437"/>
      <c r="P128" s="437"/>
      <c r="Q128" s="437"/>
      <c r="R128" s="437"/>
      <c r="S128" s="437"/>
      <c r="T128" s="437"/>
      <c r="U128" s="437"/>
      <c r="V128" s="437"/>
      <c r="W128" s="437"/>
      <c r="X128" s="438"/>
      <c r="Y128" s="438"/>
    </row>
    <row r="129" spans="1:26" customHeight="1" ht="18" s="435" customFormat="1">
      <c r="B129" s="33"/>
      <c r="C129" s="43" t="s">
        <v>219</v>
      </c>
      <c r="D129" s="33"/>
      <c r="E129" s="33"/>
      <c r="F129" s="439">
        <v>60000</v>
      </c>
      <c r="G129" s="223"/>
      <c r="H129" s="440"/>
      <c r="I129" s="440"/>
      <c r="J129" s="440"/>
      <c r="K129" s="441"/>
      <c r="L129" s="439"/>
      <c r="M129" s="437"/>
      <c r="N129" s="437"/>
      <c r="O129" s="437"/>
      <c r="P129" s="437"/>
      <c r="Q129" s="437"/>
      <c r="R129" s="437"/>
      <c r="S129" s="437"/>
      <c r="T129" s="437"/>
      <c r="U129" s="437"/>
      <c r="V129" s="437"/>
      <c r="W129" s="437"/>
      <c r="X129" s="438"/>
      <c r="Y129" s="438"/>
    </row>
    <row r="130" spans="1:26" customHeight="1" ht="18" s="435" customFormat="1">
      <c r="B130" s="33"/>
      <c r="C130" s="43" t="s">
        <v>220</v>
      </c>
      <c r="D130" s="33"/>
      <c r="E130" s="33"/>
      <c r="F130" s="439">
        <v>60000</v>
      </c>
      <c r="G130" s="223"/>
      <c r="H130" s="440"/>
      <c r="I130" s="440"/>
      <c r="J130" s="440"/>
      <c r="K130" s="441"/>
      <c r="L130" s="439"/>
      <c r="M130" s="437"/>
      <c r="N130" s="437"/>
      <c r="O130" s="437"/>
      <c r="P130" s="437"/>
      <c r="Q130" s="437"/>
      <c r="R130" s="437"/>
      <c r="S130" s="437"/>
      <c r="T130" s="437"/>
      <c r="U130" s="437"/>
      <c r="V130" s="437"/>
      <c r="W130" s="437"/>
      <c r="X130" s="438"/>
      <c r="Y130" s="438"/>
    </row>
    <row r="131" spans="1:26" customHeight="1" ht="18" s="435" customFormat="1">
      <c r="B131" s="33"/>
      <c r="C131" s="43" t="s">
        <v>221</v>
      </c>
      <c r="D131" s="33"/>
      <c r="E131" s="33"/>
      <c r="F131" s="439">
        <v>60000</v>
      </c>
      <c r="G131" s="223"/>
      <c r="H131" s="440"/>
      <c r="I131" s="440"/>
      <c r="J131" s="440"/>
      <c r="K131" s="441"/>
      <c r="L131" s="439"/>
      <c r="M131" s="437"/>
      <c r="N131" s="437"/>
      <c r="O131" s="437"/>
      <c r="P131" s="437"/>
      <c r="Q131" s="437"/>
      <c r="R131" s="437"/>
      <c r="S131" s="437"/>
      <c r="T131" s="437"/>
      <c r="U131" s="437"/>
      <c r="V131" s="437"/>
      <c r="W131" s="437"/>
      <c r="X131" s="438"/>
      <c r="Y131" s="438"/>
    </row>
    <row r="132" spans="1:26" customHeight="1" ht="18" s="435" customFormat="1">
      <c r="B132" s="33"/>
      <c r="C132" s="43" t="s">
        <v>222</v>
      </c>
      <c r="D132" s="33"/>
      <c r="E132" s="33"/>
      <c r="F132" s="439">
        <v>60000</v>
      </c>
      <c r="G132" s="223"/>
      <c r="H132" s="440"/>
      <c r="I132" s="440"/>
      <c r="J132" s="440"/>
      <c r="K132" s="441"/>
      <c r="L132" s="439"/>
      <c r="M132" s="437"/>
      <c r="N132" s="437"/>
      <c r="O132" s="437"/>
      <c r="P132" s="437"/>
      <c r="Q132" s="437"/>
      <c r="R132" s="437"/>
      <c r="S132" s="437"/>
      <c r="T132" s="437"/>
      <c r="U132" s="437"/>
      <c r="V132" s="437"/>
      <c r="W132" s="437"/>
      <c r="X132" s="438"/>
      <c r="Y132" s="438"/>
    </row>
    <row r="133" spans="1:26" customHeight="1" ht="18" s="435" customFormat="1">
      <c r="B133" s="33"/>
      <c r="C133" s="43" t="s">
        <v>223</v>
      </c>
      <c r="D133" s="33"/>
      <c r="E133" s="33"/>
      <c r="F133" s="439">
        <v>60000</v>
      </c>
      <c r="G133" s="223"/>
      <c r="H133" s="440"/>
      <c r="I133" s="440"/>
      <c r="J133" s="440"/>
      <c r="K133" s="441"/>
      <c r="L133" s="439"/>
      <c r="M133" s="437"/>
      <c r="N133" s="437"/>
      <c r="O133" s="437"/>
      <c r="P133" s="437"/>
      <c r="Q133" s="437"/>
      <c r="R133" s="437"/>
      <c r="S133" s="437"/>
      <c r="T133" s="437"/>
      <c r="U133" s="437"/>
      <c r="V133" s="437"/>
      <c r="W133" s="437"/>
      <c r="X133" s="438"/>
      <c r="Y133" s="438"/>
    </row>
    <row r="134" spans="1:26" customHeight="1" ht="18" s="435" customFormat="1">
      <c r="B134" s="33"/>
      <c r="C134" s="43" t="s">
        <v>224</v>
      </c>
      <c r="D134" s="33"/>
      <c r="E134" s="33"/>
      <c r="F134" s="439">
        <v>60000</v>
      </c>
      <c r="G134" s="223"/>
      <c r="H134" s="440"/>
      <c r="I134" s="440"/>
      <c r="J134" s="440"/>
      <c r="K134" s="441"/>
      <c r="L134" s="439"/>
      <c r="M134" s="437"/>
      <c r="N134" s="437"/>
      <c r="O134" s="437"/>
      <c r="P134" s="437"/>
      <c r="Q134" s="437"/>
      <c r="R134" s="437"/>
      <c r="S134" s="437"/>
      <c r="T134" s="437"/>
      <c r="U134" s="437"/>
      <c r="V134" s="437"/>
      <c r="W134" s="437"/>
      <c r="X134" s="438"/>
      <c r="Y134" s="438"/>
    </row>
    <row r="135" spans="1:26" customHeight="1" ht="18" s="435" customFormat="1">
      <c r="B135" s="33"/>
      <c r="C135" s="43" t="s">
        <v>225</v>
      </c>
      <c r="D135" s="33"/>
      <c r="E135" s="33"/>
      <c r="F135" s="439">
        <v>60000</v>
      </c>
      <c r="G135" s="223"/>
      <c r="H135" s="440"/>
      <c r="I135" s="440"/>
      <c r="J135" s="440"/>
      <c r="K135" s="441"/>
      <c r="L135" s="439"/>
      <c r="M135" s="437"/>
      <c r="N135" s="437"/>
      <c r="O135" s="437"/>
      <c r="P135" s="437"/>
      <c r="Q135" s="437"/>
      <c r="R135" s="437"/>
      <c r="S135" s="437"/>
      <c r="T135" s="437"/>
      <c r="U135" s="437"/>
      <c r="V135" s="437"/>
      <c r="W135" s="437"/>
      <c r="X135" s="438"/>
      <c r="Y135" s="438"/>
    </row>
    <row r="136" spans="1:26" customHeight="1" ht="18" s="435" customFormat="1">
      <c r="B136" s="33"/>
      <c r="C136" s="43" t="s">
        <v>226</v>
      </c>
      <c r="D136" s="33"/>
      <c r="E136" s="33"/>
      <c r="F136" s="439">
        <v>60000</v>
      </c>
      <c r="G136" s="223"/>
      <c r="H136" s="440"/>
      <c r="I136" s="440"/>
      <c r="J136" s="440"/>
      <c r="K136" s="441"/>
      <c r="L136" s="439"/>
      <c r="M136" s="437"/>
      <c r="N136" s="437"/>
      <c r="O136" s="437"/>
      <c r="P136" s="437"/>
      <c r="Q136" s="437"/>
      <c r="R136" s="437"/>
      <c r="S136" s="437"/>
      <c r="T136" s="437"/>
      <c r="U136" s="437"/>
      <c r="V136" s="437"/>
      <c r="W136" s="437"/>
      <c r="X136" s="438"/>
      <c r="Y136" s="438"/>
    </row>
    <row r="137" spans="1:26" customHeight="1" ht="18" s="435" customFormat="1">
      <c r="B137" s="33"/>
      <c r="C137" s="43" t="s">
        <v>227</v>
      </c>
      <c r="D137" s="33"/>
      <c r="E137" s="33"/>
      <c r="F137" s="439">
        <v>60000</v>
      </c>
      <c r="G137" s="223"/>
      <c r="H137" s="440"/>
      <c r="I137" s="440"/>
      <c r="J137" s="440"/>
      <c r="K137" s="441"/>
      <c r="L137" s="439"/>
      <c r="M137" s="437"/>
      <c r="N137" s="437"/>
      <c r="O137" s="437"/>
      <c r="P137" s="437"/>
      <c r="Q137" s="437"/>
      <c r="R137" s="437"/>
      <c r="S137" s="437"/>
      <c r="T137" s="437"/>
      <c r="U137" s="437"/>
      <c r="V137" s="437"/>
      <c r="W137" s="437"/>
      <c r="X137" s="438"/>
      <c r="Y137" s="438"/>
    </row>
    <row r="138" spans="1:26" customHeight="1" ht="18" s="435" customFormat="1">
      <c r="B138" s="33"/>
      <c r="C138" s="43" t="s">
        <v>228</v>
      </c>
      <c r="D138" s="33"/>
      <c r="E138" s="33"/>
      <c r="F138" s="439">
        <v>60000</v>
      </c>
      <c r="G138" s="223"/>
      <c r="H138" s="440"/>
      <c r="I138" s="440"/>
      <c r="J138" s="440"/>
      <c r="K138" s="441"/>
      <c r="L138" s="439"/>
      <c r="M138" s="437"/>
      <c r="N138" s="437"/>
      <c r="O138" s="437"/>
      <c r="P138" s="437"/>
      <c r="Q138" s="437"/>
      <c r="R138" s="437"/>
      <c r="S138" s="437"/>
      <c r="T138" s="437"/>
      <c r="U138" s="437"/>
      <c r="V138" s="437"/>
      <c r="W138" s="437"/>
      <c r="X138" s="438"/>
      <c r="Y138" s="438"/>
    </row>
    <row r="139" spans="1:26" customHeight="1" ht="18" s="435" customFormat="1">
      <c r="B139" s="33"/>
      <c r="C139" s="43" t="s">
        <v>229</v>
      </c>
      <c r="D139" s="33"/>
      <c r="E139" s="33"/>
      <c r="F139" s="439">
        <v>45000</v>
      </c>
      <c r="G139" s="223"/>
      <c r="H139" s="440"/>
      <c r="I139" s="440"/>
      <c r="J139" s="440"/>
      <c r="K139" s="441"/>
      <c r="L139" s="439"/>
      <c r="M139" s="437"/>
      <c r="N139" s="437"/>
      <c r="O139" s="437"/>
      <c r="P139" s="437"/>
      <c r="Q139" s="437"/>
      <c r="R139" s="437"/>
      <c r="S139" s="437"/>
      <c r="T139" s="437"/>
      <c r="U139" s="437"/>
      <c r="V139" s="437"/>
      <c r="W139" s="437"/>
      <c r="X139" s="438"/>
      <c r="Y139" s="438"/>
    </row>
    <row r="140" spans="1:26" customHeight="1" ht="18" s="435" customFormat="1">
      <c r="B140" s="33"/>
      <c r="C140" s="43" t="s">
        <v>230</v>
      </c>
      <c r="D140" s="33"/>
      <c r="E140" s="33"/>
      <c r="F140" s="439">
        <v>45000</v>
      </c>
      <c r="G140" s="223"/>
      <c r="H140" s="440"/>
      <c r="I140" s="440"/>
      <c r="J140" s="440"/>
      <c r="K140" s="441"/>
      <c r="L140" s="439"/>
      <c r="M140" s="437"/>
      <c r="N140" s="437"/>
      <c r="O140" s="437"/>
      <c r="P140" s="437"/>
      <c r="Q140" s="437"/>
      <c r="R140" s="437"/>
      <c r="S140" s="437"/>
      <c r="T140" s="437"/>
      <c r="U140" s="437"/>
      <c r="V140" s="437"/>
      <c r="W140" s="437"/>
      <c r="X140" s="438"/>
      <c r="Y140" s="438"/>
    </row>
    <row r="141" spans="1:26" customHeight="1" ht="18" s="435" customFormat="1">
      <c r="B141" s="33"/>
      <c r="C141" s="43" t="s">
        <v>231</v>
      </c>
      <c r="D141" s="33"/>
      <c r="E141" s="33"/>
      <c r="F141" s="439">
        <v>100000</v>
      </c>
      <c r="G141" s="223"/>
      <c r="H141" s="440"/>
      <c r="I141" s="440"/>
      <c r="J141" s="440"/>
      <c r="K141" s="441"/>
      <c r="L141" s="439"/>
      <c r="M141" s="437"/>
      <c r="N141" s="437"/>
      <c r="O141" s="437"/>
      <c r="P141" s="437"/>
      <c r="Q141" s="437"/>
      <c r="R141" s="437"/>
      <c r="S141" s="437"/>
      <c r="T141" s="437"/>
      <c r="U141" s="437"/>
      <c r="V141" s="437"/>
      <c r="W141" s="437"/>
      <c r="X141" s="438"/>
      <c r="Y141" s="438"/>
    </row>
    <row r="142" spans="1:26" customHeight="1" ht="18" s="408" customFormat="1">
      <c r="B142" s="33"/>
      <c r="C142" s="43" t="s">
        <v>232</v>
      </c>
      <c r="D142" s="33"/>
      <c r="E142" s="33"/>
      <c r="F142" s="449">
        <v>50000</v>
      </c>
      <c r="G142" s="208"/>
      <c r="H142" s="443">
        <v>0</v>
      </c>
      <c r="I142" s="443">
        <v>0</v>
      </c>
      <c r="J142" s="443">
        <v>0</v>
      </c>
      <c r="K142" s="450">
        <v>0</v>
      </c>
      <c r="L142" s="449">
        <v>0</v>
      </c>
      <c r="M142" s="406"/>
      <c r="N142" s="406"/>
      <c r="O142" s="406"/>
      <c r="P142" s="406"/>
      <c r="Q142" s="406"/>
      <c r="R142" s="406"/>
      <c r="S142" s="406"/>
      <c r="T142" s="406"/>
      <c r="U142" s="406"/>
      <c r="V142" s="406"/>
      <c r="W142" s="406"/>
      <c r="X142" s="407"/>
      <c r="Y142" s="407"/>
    </row>
    <row r="143" spans="1:26" customHeight="1" ht="18" s="40" customFormat="1">
      <c r="A143" s="445" t="s">
        <v>233</v>
      </c>
      <c r="B143" s="163"/>
      <c r="C143" s="163"/>
      <c r="D143" s="163"/>
      <c r="E143" s="163"/>
      <c r="F143" s="163"/>
      <c r="G143" s="446"/>
      <c r="H143" s="447">
        <f>SUM(H127:H142)</f>
        <v>385599.26</v>
      </c>
      <c r="I143" s="447">
        <f>SUM(I127:I142)</f>
        <v>155790.83</v>
      </c>
      <c r="J143" s="447">
        <f>SUM(J127:J142)</f>
        <v>688209.17</v>
      </c>
      <c r="K143" s="447">
        <f>SUM(K127:K142)</f>
        <v>844000</v>
      </c>
      <c r="L143" s="448">
        <f>SUM(L127:L142)</f>
        <v>920000</v>
      </c>
      <c r="M143" s="406"/>
      <c r="N143" s="406"/>
      <c r="O143" s="406"/>
      <c r="P143" s="406"/>
      <c r="Q143" s="406"/>
      <c r="R143" s="406"/>
      <c r="S143" s="406"/>
      <c r="T143" s="406"/>
      <c r="U143" s="406"/>
      <c r="V143" s="406"/>
      <c r="W143" s="406"/>
      <c r="X143" s="412"/>
      <c r="Y143" s="412"/>
    </row>
    <row r="144" spans="1:26" customHeight="1" ht="21.95" s="434" customFormat="1">
      <c r="A144" s="430" t="s">
        <v>217</v>
      </c>
      <c r="B144" s="402"/>
      <c r="C144" s="402"/>
      <c r="D144" s="402"/>
      <c r="E144" s="402"/>
      <c r="F144" s="402"/>
      <c r="G144" s="223"/>
      <c r="H144" s="431"/>
      <c r="I144" s="431"/>
      <c r="J144" s="431"/>
      <c r="K144" s="404"/>
      <c r="L144" s="405"/>
      <c r="M144" s="432"/>
      <c r="N144" s="432"/>
      <c r="O144" s="432"/>
      <c r="P144" s="432"/>
      <c r="Q144" s="432"/>
      <c r="R144" s="432"/>
      <c r="S144" s="432"/>
      <c r="T144" s="432"/>
      <c r="U144" s="432"/>
      <c r="V144" s="432"/>
      <c r="W144" s="432"/>
      <c r="X144" s="433"/>
      <c r="Y144" s="433"/>
    </row>
    <row r="145" spans="1:26" customHeight="1" ht="21.95" s="408" customFormat="1">
      <c r="B145" s="33" t="s">
        <v>97</v>
      </c>
      <c r="C145" s="33"/>
      <c r="D145" s="33"/>
      <c r="E145" s="33"/>
      <c r="F145" s="33"/>
      <c r="G145" s="208" t="s">
        <v>98</v>
      </c>
      <c r="H145" s="413"/>
      <c r="I145" s="413"/>
      <c r="J145" s="413"/>
      <c r="K145" s="404"/>
      <c r="L145" s="405"/>
      <c r="M145" s="406"/>
      <c r="N145" s="406"/>
      <c r="O145" s="406"/>
      <c r="P145" s="406"/>
      <c r="Q145" s="406"/>
      <c r="R145" s="406"/>
      <c r="S145" s="406"/>
      <c r="T145" s="406"/>
      <c r="U145" s="406"/>
      <c r="V145" s="406"/>
      <c r="W145" s="406"/>
      <c r="X145" s="407"/>
      <c r="Y145" s="407"/>
    </row>
    <row r="146" spans="1:26" customHeight="1" ht="21.95" s="435" customFormat="1">
      <c r="B146" s="33"/>
      <c r="C146" s="43" t="s">
        <v>231</v>
      </c>
      <c r="D146" s="33"/>
      <c r="E146" s="33"/>
      <c r="F146" s="417"/>
      <c r="G146" s="223"/>
      <c r="H146" s="413">
        <v>0</v>
      </c>
      <c r="I146" s="413">
        <v>0</v>
      </c>
      <c r="J146" s="413">
        <f>K146-I146</f>
        <v>15000</v>
      </c>
      <c r="K146" s="404">
        <v>15000</v>
      </c>
      <c r="L146" s="405">
        <v>15000</v>
      </c>
      <c r="M146" s="437"/>
      <c r="N146" s="437">
        <v>15000</v>
      </c>
      <c r="O146" s="437"/>
      <c r="P146" s="437"/>
      <c r="Q146" s="437"/>
      <c r="R146" s="437"/>
      <c r="S146" s="437"/>
      <c r="T146" s="437"/>
      <c r="U146" s="437"/>
      <c r="V146" s="437"/>
      <c r="W146" s="437"/>
      <c r="X146" s="438"/>
      <c r="Y146" s="438"/>
    </row>
    <row r="147" spans="1:26" customHeight="1" ht="21.95" s="40" customFormat="1">
      <c r="B147" s="33" t="s">
        <v>237</v>
      </c>
      <c r="C147" s="33"/>
      <c r="D147" s="33"/>
      <c r="E147" s="33"/>
      <c r="F147" s="160"/>
      <c r="G147" s="223" t="s">
        <v>100</v>
      </c>
      <c r="H147" s="413">
        <v>9821.5</v>
      </c>
      <c r="I147" s="413">
        <v>0</v>
      </c>
      <c r="J147" s="413">
        <f>K147-I147</f>
        <v>205000</v>
      </c>
      <c r="K147" s="404">
        <v>205000</v>
      </c>
      <c r="L147" s="405">
        <f>+F148+F149</f>
        <v>155000</v>
      </c>
      <c r="M147" s="406"/>
      <c r="N147" s="406"/>
      <c r="O147" s="406"/>
      <c r="P147" s="406"/>
      <c r="Q147" s="406"/>
      <c r="R147" s="406"/>
      <c r="S147" s="406"/>
      <c r="T147" s="406"/>
      <c r="U147" s="406"/>
      <c r="V147" s="406"/>
      <c r="W147" s="406"/>
      <c r="X147" s="412"/>
      <c r="Y147" s="412"/>
    </row>
    <row r="148" spans="1:26" customHeight="1" ht="21.95" s="40" customFormat="1">
      <c r="B148" s="33"/>
      <c r="C148" s="43" t="s">
        <v>231</v>
      </c>
      <c r="D148" s="33"/>
      <c r="E148" s="33"/>
      <c r="F148" s="453">
        <v>150000</v>
      </c>
      <c r="G148" s="223"/>
      <c r="H148" s="413"/>
      <c r="I148" s="413"/>
      <c r="J148" s="413"/>
      <c r="K148" s="404"/>
      <c r="L148" s="405"/>
      <c r="M148" s="406"/>
      <c r="N148" s="406"/>
      <c r="O148" s="406"/>
      <c r="P148" s="406"/>
      <c r="Q148" s="406"/>
      <c r="R148" s="406"/>
      <c r="S148" s="406"/>
      <c r="T148" s="406"/>
      <c r="U148" s="406"/>
      <c r="V148" s="406"/>
      <c r="W148" s="406"/>
      <c r="X148" s="412"/>
      <c r="Y148" s="412"/>
    </row>
    <row r="149" spans="1:26" customHeight="1" ht="21.95" s="40" customFormat="1">
      <c r="B149" s="33"/>
      <c r="C149" s="43" t="s">
        <v>232</v>
      </c>
      <c r="D149" s="33"/>
      <c r="E149" s="33"/>
      <c r="F149" s="454">
        <v>5000</v>
      </c>
      <c r="G149" s="223"/>
      <c r="H149" s="413"/>
      <c r="I149" s="413"/>
      <c r="J149" s="413"/>
      <c r="K149" s="404"/>
      <c r="L149" s="405"/>
      <c r="M149" s="406"/>
      <c r="N149" s="406"/>
      <c r="O149" s="406"/>
      <c r="P149" s="406"/>
      <c r="Q149" s="406"/>
      <c r="R149" s="406"/>
      <c r="S149" s="406"/>
      <c r="T149" s="406"/>
      <c r="U149" s="406"/>
      <c r="V149" s="406"/>
      <c r="W149" s="406"/>
      <c r="X149" s="412"/>
      <c r="Y149" s="412"/>
    </row>
    <row r="150" spans="1:26" customHeight="1" ht="21.95" s="455" customFormat="1">
      <c r="B150" s="33" t="s">
        <v>238</v>
      </c>
      <c r="C150" s="33"/>
      <c r="D150" s="456"/>
      <c r="E150" s="456"/>
      <c r="F150" s="456"/>
      <c r="G150" s="457" t="s">
        <v>102</v>
      </c>
      <c r="H150" s="458">
        <v>60660</v>
      </c>
      <c r="I150" s="458">
        <v>14480</v>
      </c>
      <c r="J150" s="413">
        <f>K150-I150</f>
        <v>500520</v>
      </c>
      <c r="K150" s="459">
        <v>515000</v>
      </c>
      <c r="L150" s="460">
        <f>+F151+F152</f>
        <v>315000</v>
      </c>
      <c r="M150" s="461"/>
      <c r="N150" s="461"/>
      <c r="O150" s="461"/>
      <c r="P150" s="461"/>
      <c r="Q150" s="461"/>
      <c r="R150" s="461"/>
      <c r="S150" s="461"/>
      <c r="T150" s="461"/>
      <c r="U150" s="461"/>
      <c r="V150" s="461"/>
      <c r="W150" s="461"/>
      <c r="X150" s="462"/>
      <c r="Y150" s="462"/>
    </row>
    <row r="151" spans="1:26" customHeight="1" ht="21.95" s="455" customFormat="1">
      <c r="B151" s="33"/>
      <c r="C151" s="43" t="s">
        <v>231</v>
      </c>
      <c r="D151" s="456"/>
      <c r="E151" s="456"/>
      <c r="F151" s="460">
        <v>300000</v>
      </c>
      <c r="G151" s="457"/>
      <c r="H151" s="458"/>
      <c r="I151" s="458"/>
      <c r="J151" s="458"/>
      <c r="K151" s="459"/>
      <c r="L151" s="460"/>
      <c r="M151" s="461"/>
      <c r="N151" s="461"/>
      <c r="O151" s="461"/>
      <c r="P151" s="461"/>
      <c r="Q151" s="461"/>
      <c r="R151" s="461"/>
      <c r="S151" s="461"/>
      <c r="T151" s="461"/>
      <c r="U151" s="461"/>
      <c r="V151" s="461"/>
      <c r="W151" s="461"/>
      <c r="X151" s="462"/>
      <c r="Y151" s="462"/>
    </row>
    <row r="152" spans="1:26" customHeight="1" ht="21.95" s="455" customFormat="1">
      <c r="B152" s="33"/>
      <c r="C152" s="43" t="s">
        <v>232</v>
      </c>
      <c r="D152" s="456"/>
      <c r="E152" s="456"/>
      <c r="F152" s="463">
        <v>15000</v>
      </c>
      <c r="G152" s="457"/>
      <c r="H152" s="444"/>
      <c r="I152" s="444"/>
      <c r="J152" s="444"/>
      <c r="K152" s="450"/>
      <c r="L152" s="449"/>
      <c r="M152" s="461"/>
      <c r="N152" s="461"/>
      <c r="O152" s="461"/>
      <c r="P152" s="461"/>
      <c r="Q152" s="461"/>
      <c r="R152" s="461"/>
      <c r="S152" s="461"/>
      <c r="T152" s="461"/>
      <c r="U152" s="461"/>
      <c r="V152" s="461"/>
      <c r="W152" s="461"/>
      <c r="X152" s="462"/>
      <c r="Y152" s="462"/>
    </row>
    <row r="153" spans="1:26" customHeight="1" ht="21.95" s="408" customFormat="1">
      <c r="B153" s="33" t="s">
        <v>239</v>
      </c>
      <c r="C153" s="33"/>
      <c r="D153" s="33"/>
      <c r="E153" s="33"/>
      <c r="F153" s="160"/>
      <c r="G153" s="208" t="s">
        <v>123</v>
      </c>
      <c r="H153" s="413"/>
      <c r="I153" s="413"/>
      <c r="J153" s="413"/>
      <c r="K153" s="404"/>
      <c r="L153" s="405"/>
      <c r="M153" s="406"/>
      <c r="N153" s="406"/>
      <c r="O153" s="406"/>
      <c r="P153" s="406"/>
      <c r="Q153" s="406"/>
      <c r="R153" s="406"/>
      <c r="S153" s="406"/>
      <c r="T153" s="406"/>
      <c r="U153" s="406"/>
      <c r="V153" s="406"/>
      <c r="W153" s="406"/>
      <c r="X153" s="407"/>
      <c r="Y153" s="407"/>
    </row>
    <row r="154" spans="1:26" customHeight="1" ht="21.95" s="408" customFormat="1">
      <c r="B154" s="33"/>
      <c r="C154" s="43" t="s">
        <v>231</v>
      </c>
      <c r="D154" s="33"/>
      <c r="E154" s="33"/>
      <c r="F154" s="160"/>
      <c r="G154" s="208"/>
      <c r="H154" s="413">
        <v>0</v>
      </c>
      <c r="I154" s="413">
        <v>5758.12</v>
      </c>
      <c r="J154" s="413">
        <f>K154-I154</f>
        <v>11491.88</v>
      </c>
      <c r="K154" s="404">
        <v>17250</v>
      </c>
      <c r="L154" s="405">
        <v>17250</v>
      </c>
      <c r="M154" s="406"/>
      <c r="N154" s="406"/>
      <c r="O154" s="406"/>
      <c r="P154" s="406"/>
      <c r="Q154" s="406"/>
      <c r="R154" s="406"/>
      <c r="S154" s="406"/>
      <c r="T154" s="406"/>
      <c r="U154" s="406"/>
      <c r="V154" s="406"/>
      <c r="W154" s="406"/>
      <c r="X154" s="407"/>
      <c r="Y154" s="407"/>
    </row>
    <row r="155" spans="1:26" customHeight="1" ht="21.95" s="408" customFormat="1">
      <c r="B155" s="33" t="s">
        <v>240</v>
      </c>
      <c r="C155" s="33"/>
      <c r="D155" s="33"/>
      <c r="E155" s="33"/>
      <c r="F155" s="160"/>
      <c r="G155" s="208" t="s">
        <v>125</v>
      </c>
      <c r="H155" s="413"/>
      <c r="I155" s="413"/>
      <c r="J155" s="413"/>
      <c r="K155" s="404"/>
      <c r="L155" s="405"/>
      <c r="M155" s="406"/>
      <c r="N155" s="406"/>
      <c r="O155" s="406"/>
      <c r="P155" s="406"/>
      <c r="Q155" s="406"/>
      <c r="R155" s="406"/>
      <c r="S155" s="406"/>
      <c r="T155" s="406"/>
      <c r="U155" s="406"/>
      <c r="V155" s="406"/>
      <c r="W155" s="406"/>
      <c r="X155" s="407"/>
      <c r="Y155" s="407"/>
    </row>
    <row r="156" spans="1:26" customHeight="1" ht="21.95" s="408" customFormat="1">
      <c r="B156" s="33"/>
      <c r="C156" s="43" t="s">
        <v>231</v>
      </c>
      <c r="D156" s="33"/>
      <c r="E156" s="33"/>
      <c r="F156" s="160"/>
      <c r="G156" s="208"/>
      <c r="H156" s="464">
        <v>0</v>
      </c>
      <c r="I156" s="464">
        <v>22000</v>
      </c>
      <c r="J156" s="464">
        <f>K156-I156</f>
        <v>0</v>
      </c>
      <c r="K156" s="416">
        <v>22000</v>
      </c>
      <c r="L156" s="417">
        <v>22000</v>
      </c>
      <c r="M156" s="406"/>
      <c r="N156" s="406"/>
      <c r="O156" s="406"/>
      <c r="P156" s="406"/>
      <c r="Q156" s="406"/>
      <c r="R156" s="406"/>
      <c r="S156" s="406"/>
      <c r="T156" s="406"/>
      <c r="U156" s="406"/>
      <c r="V156" s="406"/>
      <c r="W156" s="406"/>
      <c r="X156" s="407"/>
      <c r="Y156" s="407"/>
    </row>
    <row r="157" spans="1:26" customHeight="1" ht="21.95" s="40" customFormat="1">
      <c r="A157" s="445" t="s">
        <v>233</v>
      </c>
      <c r="B157" s="163"/>
      <c r="C157" s="163"/>
      <c r="D157" s="163"/>
      <c r="E157" s="163"/>
      <c r="F157" s="163"/>
      <c r="G157" s="446"/>
      <c r="H157" s="447">
        <f>SUM(H145:H156)</f>
        <v>70481.5</v>
      </c>
      <c r="I157" s="447">
        <f>SUM(I145:I156)</f>
        <v>42238.12</v>
      </c>
      <c r="J157" s="447">
        <f>SUM(J145:J156)</f>
        <v>732011.88</v>
      </c>
      <c r="K157" s="447">
        <f>SUM(K145:K156)</f>
        <v>774250</v>
      </c>
      <c r="L157" s="448">
        <f>SUM(L145:L156)</f>
        <v>524250</v>
      </c>
      <c r="M157" s="406"/>
      <c r="N157" s="406"/>
      <c r="O157" s="406"/>
      <c r="P157" s="406"/>
      <c r="Q157" s="406"/>
      <c r="R157" s="406"/>
      <c r="S157" s="406"/>
      <c r="T157" s="406"/>
      <c r="U157" s="406"/>
      <c r="V157" s="406"/>
      <c r="W157" s="406"/>
      <c r="X157" s="412"/>
      <c r="Y157" s="412"/>
    </row>
    <row r="158" spans="1:26" customHeight="1" ht="21.95" s="40" customFormat="1">
      <c r="A158" s="465"/>
      <c r="B158" s="466"/>
      <c r="C158" s="466"/>
      <c r="D158" s="466"/>
      <c r="E158" s="466"/>
      <c r="F158" s="466"/>
      <c r="G158" s="467"/>
      <c r="H158" s="468"/>
      <c r="I158" s="468"/>
      <c r="J158" s="468"/>
      <c r="K158" s="468"/>
      <c r="L158" s="468"/>
      <c r="M158" s="406"/>
      <c r="N158" s="406"/>
      <c r="O158" s="406"/>
      <c r="P158" s="406"/>
      <c r="Q158" s="406"/>
      <c r="R158" s="406"/>
      <c r="S158" s="406"/>
      <c r="T158" s="406"/>
      <c r="U158" s="406"/>
      <c r="V158" s="406"/>
      <c r="W158" s="406"/>
      <c r="X158" s="412"/>
      <c r="Y158" s="412"/>
    </row>
    <row r="159" spans="1:26" customHeight="1" ht="17.1" s="434" customFormat="1">
      <c r="A159" s="430" t="s">
        <v>217</v>
      </c>
      <c r="B159" s="402"/>
      <c r="C159" s="402"/>
      <c r="D159" s="402"/>
      <c r="E159" s="402"/>
      <c r="F159" s="402"/>
      <c r="G159" s="223"/>
      <c r="H159" s="431"/>
      <c r="I159" s="431"/>
      <c r="J159" s="431"/>
      <c r="K159" s="404"/>
      <c r="L159" s="405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3"/>
    </row>
    <row r="160" spans="1:26" customHeight="1" ht="17.1" s="40" customFormat="1">
      <c r="B160" s="33" t="s">
        <v>129</v>
      </c>
      <c r="C160" s="33"/>
      <c r="D160" s="33"/>
      <c r="E160" s="33"/>
      <c r="F160" s="160"/>
      <c r="G160" s="223" t="s">
        <v>130</v>
      </c>
      <c r="H160" s="404">
        <v>39500</v>
      </c>
      <c r="I160" s="404">
        <f>16000</f>
        <v>16000</v>
      </c>
      <c r="J160" s="413">
        <f>K160-I160</f>
        <v>674000</v>
      </c>
      <c r="K160" s="404">
        <v>690000</v>
      </c>
      <c r="L160" s="405">
        <f>SUM(F161:F174)</f>
        <v>800000</v>
      </c>
      <c r="M160" s="406"/>
      <c r="N160" s="406"/>
      <c r="O160" s="406"/>
      <c r="P160" s="406"/>
      <c r="Q160" s="406"/>
      <c r="R160" s="406"/>
      <c r="S160" s="406"/>
      <c r="T160" s="406"/>
      <c r="U160" s="406"/>
      <c r="V160" s="406"/>
      <c r="W160" s="406"/>
      <c r="X160" s="412"/>
      <c r="Y160" s="412"/>
    </row>
    <row r="161" spans="1:26" customHeight="1" ht="17.1" s="435" customFormat="1">
      <c r="B161" s="33"/>
      <c r="C161" s="43" t="s">
        <v>218</v>
      </c>
      <c r="D161" s="33"/>
      <c r="E161" s="33"/>
      <c r="F161" s="439">
        <v>150000</v>
      </c>
      <c r="G161" s="223"/>
      <c r="H161" s="440"/>
      <c r="I161" s="440"/>
      <c r="J161" s="440"/>
      <c r="K161" s="441"/>
      <c r="L161" s="439"/>
      <c r="M161" s="437"/>
      <c r="N161" s="437">
        <f>SUM(L161:L174)</f>
        <v>0</v>
      </c>
      <c r="O161" s="437"/>
      <c r="P161" s="437"/>
      <c r="Q161" s="437"/>
      <c r="R161" s="437"/>
      <c r="S161" s="437"/>
      <c r="T161" s="437"/>
      <c r="U161" s="437"/>
      <c r="V161" s="437"/>
      <c r="W161" s="437"/>
      <c r="X161" s="438"/>
      <c r="Y161" s="438"/>
    </row>
    <row r="162" spans="1:26" customHeight="1" ht="17.1" s="435" customFormat="1">
      <c r="B162" s="33"/>
      <c r="C162" s="43" t="s">
        <v>219</v>
      </c>
      <c r="D162" s="33"/>
      <c r="E162" s="33"/>
      <c r="F162" s="439">
        <v>50000</v>
      </c>
      <c r="G162" s="223"/>
      <c r="H162" s="440"/>
      <c r="I162" s="440"/>
      <c r="J162" s="440"/>
      <c r="K162" s="441"/>
      <c r="L162" s="439"/>
      <c r="M162" s="437"/>
      <c r="N162" s="437"/>
      <c r="O162" s="437"/>
      <c r="P162" s="437"/>
      <c r="Q162" s="437"/>
      <c r="R162" s="437"/>
      <c r="S162" s="437"/>
      <c r="T162" s="437"/>
      <c r="U162" s="437"/>
      <c r="V162" s="437"/>
      <c r="W162" s="437"/>
      <c r="X162" s="438"/>
      <c r="Y162" s="438"/>
    </row>
    <row r="163" spans="1:26" customHeight="1" ht="17.1" s="435" customFormat="1">
      <c r="B163" s="33"/>
      <c r="C163" s="43" t="s">
        <v>220</v>
      </c>
      <c r="D163" s="33"/>
      <c r="E163" s="33"/>
      <c r="F163" s="439">
        <v>50000</v>
      </c>
      <c r="G163" s="223"/>
      <c r="H163" s="440"/>
      <c r="I163" s="440"/>
      <c r="J163" s="440"/>
      <c r="K163" s="441"/>
      <c r="L163" s="439"/>
      <c r="M163" s="437"/>
      <c r="N163" s="437"/>
      <c r="O163" s="437"/>
      <c r="P163" s="437"/>
      <c r="Q163" s="437"/>
      <c r="R163" s="437"/>
      <c r="S163" s="437"/>
      <c r="T163" s="437"/>
      <c r="U163" s="437"/>
      <c r="V163" s="437"/>
      <c r="W163" s="437"/>
      <c r="X163" s="438"/>
      <c r="Y163" s="438"/>
    </row>
    <row r="164" spans="1:26" customHeight="1" ht="17.1" s="435" customFormat="1">
      <c r="B164" s="33"/>
      <c r="C164" s="43" t="s">
        <v>221</v>
      </c>
      <c r="D164" s="33"/>
      <c r="E164" s="33"/>
      <c r="F164" s="439">
        <v>50000</v>
      </c>
      <c r="G164" s="223"/>
      <c r="H164" s="440"/>
      <c r="I164" s="440"/>
      <c r="J164" s="440"/>
      <c r="K164" s="441"/>
      <c r="L164" s="439"/>
      <c r="M164" s="437"/>
      <c r="N164" s="437"/>
      <c r="O164" s="437"/>
      <c r="P164" s="437"/>
      <c r="Q164" s="437"/>
      <c r="R164" s="437"/>
      <c r="S164" s="437"/>
      <c r="T164" s="437"/>
      <c r="U164" s="437"/>
      <c r="V164" s="437"/>
      <c r="W164" s="437"/>
      <c r="X164" s="438"/>
      <c r="Y164" s="438"/>
    </row>
    <row r="165" spans="1:26" customHeight="1" ht="17.1" s="435" customFormat="1">
      <c r="B165" s="33"/>
      <c r="C165" s="43" t="s">
        <v>222</v>
      </c>
      <c r="D165" s="33"/>
      <c r="E165" s="33"/>
      <c r="F165" s="439">
        <v>50000</v>
      </c>
      <c r="G165" s="223"/>
      <c r="H165" s="440"/>
      <c r="I165" s="440"/>
      <c r="J165" s="440"/>
      <c r="K165" s="441"/>
      <c r="L165" s="439"/>
      <c r="M165" s="437"/>
      <c r="N165" s="437"/>
      <c r="O165" s="437"/>
      <c r="P165" s="437"/>
      <c r="Q165" s="437"/>
      <c r="R165" s="437"/>
      <c r="S165" s="437"/>
      <c r="T165" s="437"/>
      <c r="U165" s="437"/>
      <c r="V165" s="437"/>
      <c r="W165" s="437"/>
      <c r="X165" s="438"/>
      <c r="Y165" s="438"/>
    </row>
    <row r="166" spans="1:26" customHeight="1" ht="17.1" s="435" customFormat="1">
      <c r="B166" s="33"/>
      <c r="C166" s="43" t="s">
        <v>223</v>
      </c>
      <c r="D166" s="33"/>
      <c r="E166" s="33"/>
      <c r="F166" s="439">
        <v>50000</v>
      </c>
      <c r="G166" s="223"/>
      <c r="H166" s="440"/>
      <c r="I166" s="440"/>
      <c r="J166" s="440"/>
      <c r="K166" s="441"/>
      <c r="L166" s="439"/>
      <c r="M166" s="437"/>
      <c r="N166" s="437"/>
      <c r="O166" s="437"/>
      <c r="P166" s="437"/>
      <c r="Q166" s="437"/>
      <c r="R166" s="437"/>
      <c r="S166" s="437"/>
      <c r="T166" s="437"/>
      <c r="U166" s="437"/>
      <c r="V166" s="437"/>
      <c r="W166" s="437"/>
      <c r="X166" s="438"/>
      <c r="Y166" s="438"/>
    </row>
    <row r="167" spans="1:26" customHeight="1" ht="17.1" s="435" customFormat="1">
      <c r="B167" s="33"/>
      <c r="C167" s="43" t="s">
        <v>224</v>
      </c>
      <c r="D167" s="33"/>
      <c r="E167" s="33"/>
      <c r="F167" s="439">
        <v>50000</v>
      </c>
      <c r="G167" s="223"/>
      <c r="H167" s="440"/>
      <c r="I167" s="440"/>
      <c r="J167" s="440"/>
      <c r="K167" s="441"/>
      <c r="L167" s="439"/>
      <c r="M167" s="437"/>
      <c r="N167" s="437"/>
      <c r="O167" s="437"/>
      <c r="P167" s="437"/>
      <c r="Q167" s="437"/>
      <c r="R167" s="437"/>
      <c r="S167" s="437"/>
      <c r="T167" s="437"/>
      <c r="U167" s="437"/>
      <c r="V167" s="437"/>
      <c r="W167" s="437"/>
      <c r="X167" s="438"/>
      <c r="Y167" s="438"/>
    </row>
    <row r="168" spans="1:26" customHeight="1" ht="17.1" s="435" customFormat="1">
      <c r="B168" s="33"/>
      <c r="C168" s="43" t="s">
        <v>225</v>
      </c>
      <c r="D168" s="33"/>
      <c r="E168" s="33"/>
      <c r="F168" s="439">
        <v>50000</v>
      </c>
      <c r="G168" s="223"/>
      <c r="H168" s="440"/>
      <c r="I168" s="440"/>
      <c r="J168" s="440"/>
      <c r="K168" s="441"/>
      <c r="L168" s="439"/>
      <c r="M168" s="437"/>
      <c r="N168" s="437"/>
      <c r="O168" s="437"/>
      <c r="P168" s="437"/>
      <c r="Q168" s="437"/>
      <c r="R168" s="437"/>
      <c r="S168" s="437"/>
      <c r="T168" s="437"/>
      <c r="U168" s="437"/>
      <c r="V168" s="437"/>
      <c r="W168" s="437"/>
      <c r="X168" s="438"/>
      <c r="Y168" s="438"/>
    </row>
    <row r="169" spans="1:26" customHeight="1" ht="17.1" s="435" customFormat="1">
      <c r="B169" s="33"/>
      <c r="C169" s="43" t="s">
        <v>226</v>
      </c>
      <c r="D169" s="33"/>
      <c r="E169" s="33"/>
      <c r="F169" s="439">
        <v>50000</v>
      </c>
      <c r="G169" s="223"/>
      <c r="H169" s="440"/>
      <c r="I169" s="440"/>
      <c r="J169" s="440"/>
      <c r="K169" s="441"/>
      <c r="L169" s="439"/>
      <c r="M169" s="437"/>
      <c r="N169" s="437"/>
      <c r="O169" s="437"/>
      <c r="P169" s="437"/>
      <c r="Q169" s="437"/>
      <c r="R169" s="437"/>
      <c r="S169" s="437"/>
      <c r="T169" s="437"/>
      <c r="U169" s="437"/>
      <c r="V169" s="437"/>
      <c r="W169" s="437"/>
      <c r="X169" s="438"/>
      <c r="Y169" s="438"/>
    </row>
    <row r="170" spans="1:26" customHeight="1" ht="17.1" s="435" customFormat="1">
      <c r="B170" s="33"/>
      <c r="C170" s="43" t="s">
        <v>227</v>
      </c>
      <c r="D170" s="33"/>
      <c r="E170" s="33"/>
      <c r="F170" s="439">
        <v>50000</v>
      </c>
      <c r="G170" s="223"/>
      <c r="H170" s="440"/>
      <c r="I170" s="440"/>
      <c r="J170" s="440"/>
      <c r="K170" s="441"/>
      <c r="L170" s="439"/>
      <c r="M170" s="437"/>
      <c r="N170" s="437"/>
      <c r="O170" s="437"/>
      <c r="P170" s="437"/>
      <c r="Q170" s="437"/>
      <c r="R170" s="437"/>
      <c r="S170" s="437"/>
      <c r="T170" s="437"/>
      <c r="U170" s="437"/>
      <c r="V170" s="437"/>
      <c r="W170" s="437"/>
      <c r="X170" s="438"/>
      <c r="Y170" s="438"/>
    </row>
    <row r="171" spans="1:26" customHeight="1" ht="17.1" s="435" customFormat="1">
      <c r="B171" s="33"/>
      <c r="C171" s="43" t="s">
        <v>228</v>
      </c>
      <c r="D171" s="33"/>
      <c r="E171" s="33"/>
      <c r="F171" s="439">
        <v>50000</v>
      </c>
      <c r="G171" s="223"/>
      <c r="H171" s="440"/>
      <c r="I171" s="440"/>
      <c r="J171" s="440"/>
      <c r="K171" s="441"/>
      <c r="L171" s="439"/>
      <c r="M171" s="437"/>
      <c r="N171" s="437"/>
      <c r="O171" s="437"/>
      <c r="P171" s="437"/>
      <c r="Q171" s="437"/>
      <c r="R171" s="437"/>
      <c r="S171" s="437"/>
      <c r="T171" s="437"/>
      <c r="U171" s="437"/>
      <c r="V171" s="437"/>
      <c r="W171" s="437"/>
      <c r="X171" s="438"/>
      <c r="Y171" s="438"/>
    </row>
    <row r="172" spans="1:26" customHeight="1" ht="17.1" s="435" customFormat="1">
      <c r="B172" s="33"/>
      <c r="C172" s="43" t="s">
        <v>229</v>
      </c>
      <c r="D172" s="33"/>
      <c r="E172" s="33"/>
      <c r="F172" s="439">
        <v>50000</v>
      </c>
      <c r="G172" s="223"/>
      <c r="H172" s="440"/>
      <c r="I172" s="440"/>
      <c r="J172" s="440"/>
      <c r="K172" s="441"/>
      <c r="L172" s="439"/>
      <c r="M172" s="437"/>
      <c r="N172" s="437"/>
      <c r="O172" s="437"/>
      <c r="P172" s="437"/>
      <c r="Q172" s="437"/>
      <c r="R172" s="437"/>
      <c r="S172" s="437"/>
      <c r="T172" s="437"/>
      <c r="U172" s="437"/>
      <c r="V172" s="437"/>
      <c r="W172" s="437"/>
      <c r="X172" s="438"/>
      <c r="Y172" s="438"/>
    </row>
    <row r="173" spans="1:26" customHeight="1" ht="17.1" s="435" customFormat="1">
      <c r="B173" s="33"/>
      <c r="C173" s="43" t="s">
        <v>230</v>
      </c>
      <c r="D173" s="33"/>
      <c r="E173" s="33"/>
      <c r="F173" s="439">
        <v>50000</v>
      </c>
      <c r="G173" s="223"/>
      <c r="H173" s="440"/>
      <c r="I173" s="440"/>
      <c r="J173" s="440"/>
      <c r="K173" s="441"/>
      <c r="L173" s="439"/>
      <c r="M173" s="437"/>
      <c r="N173" s="437"/>
      <c r="O173" s="437"/>
      <c r="P173" s="437"/>
      <c r="Q173" s="437"/>
      <c r="R173" s="437"/>
      <c r="S173" s="437"/>
      <c r="T173" s="437"/>
      <c r="U173" s="437"/>
      <c r="V173" s="437"/>
      <c r="W173" s="437"/>
      <c r="X173" s="438"/>
      <c r="Y173" s="438"/>
    </row>
    <row r="174" spans="1:26" customHeight="1" ht="17.1" s="435" customFormat="1">
      <c r="B174" s="33"/>
      <c r="C174" s="43" t="s">
        <v>231</v>
      </c>
      <c r="D174" s="33"/>
      <c r="E174" s="33"/>
      <c r="F174" s="442">
        <v>50000</v>
      </c>
      <c r="G174" s="223"/>
      <c r="H174" s="440"/>
      <c r="I174" s="440"/>
      <c r="J174" s="440"/>
      <c r="K174" s="441"/>
      <c r="L174" s="439"/>
      <c r="M174" s="437"/>
      <c r="N174" s="437"/>
      <c r="O174" s="437"/>
      <c r="P174" s="437"/>
      <c r="Q174" s="437"/>
      <c r="R174" s="437"/>
      <c r="S174" s="437"/>
      <c r="T174" s="437"/>
      <c r="U174" s="437"/>
      <c r="V174" s="437"/>
      <c r="W174" s="437"/>
      <c r="X174" s="438"/>
      <c r="Y174" s="438"/>
    </row>
    <row r="175" spans="1:26" customHeight="1" ht="17.1" s="40" customFormat="1">
      <c r="B175" s="33" t="s">
        <v>241</v>
      </c>
      <c r="C175" s="33"/>
      <c r="D175" s="33"/>
      <c r="E175" s="33"/>
      <c r="F175" s="160"/>
      <c r="G175" s="223" t="s">
        <v>242</v>
      </c>
      <c r="H175" s="469"/>
      <c r="I175" s="469"/>
      <c r="J175" s="469"/>
      <c r="K175" s="469"/>
      <c r="L175" s="470"/>
      <c r="M175" s="406"/>
      <c r="N175" s="406"/>
      <c r="O175" s="406"/>
      <c r="P175" s="406"/>
      <c r="Q175" s="406"/>
      <c r="R175" s="406"/>
      <c r="S175" s="406"/>
      <c r="T175" s="406"/>
      <c r="U175" s="406"/>
      <c r="V175" s="406"/>
      <c r="W175" s="406"/>
      <c r="X175" s="412"/>
      <c r="Y175" s="412"/>
    </row>
    <row r="176" spans="1:26" customHeight="1" ht="17.1" s="40" customFormat="1">
      <c r="B176" s="33"/>
      <c r="C176" s="43" t="s">
        <v>231</v>
      </c>
      <c r="D176" s="33"/>
      <c r="E176" s="33"/>
      <c r="F176" s="160"/>
      <c r="G176" s="223"/>
      <c r="H176" s="450">
        <v>12500</v>
      </c>
      <c r="I176" s="450"/>
      <c r="J176" s="464">
        <f>K176-I176</f>
        <v>150000</v>
      </c>
      <c r="K176" s="450">
        <v>150000</v>
      </c>
      <c r="L176" s="449">
        <v>100000</v>
      </c>
      <c r="M176" s="406"/>
      <c r="N176" s="406"/>
      <c r="O176" s="406"/>
      <c r="P176" s="406"/>
      <c r="Q176" s="406"/>
      <c r="R176" s="406"/>
      <c r="S176" s="406"/>
      <c r="T176" s="406"/>
      <c r="U176" s="406"/>
      <c r="V176" s="406"/>
      <c r="W176" s="406"/>
      <c r="X176" s="412"/>
      <c r="Y176" s="412"/>
    </row>
    <row r="177" spans="1:26" customHeight="1" ht="17.1" s="40" customFormat="1">
      <c r="A177" s="445" t="s">
        <v>233</v>
      </c>
      <c r="B177" s="163"/>
      <c r="C177" s="163"/>
      <c r="D177" s="163"/>
      <c r="E177" s="163"/>
      <c r="F177" s="163"/>
      <c r="G177" s="446"/>
      <c r="H177" s="447">
        <f>SUM(H160:H176)</f>
        <v>52000</v>
      </c>
      <c r="I177" s="447">
        <f>SUM(I160:I176)</f>
        <v>16000</v>
      </c>
      <c r="J177" s="447">
        <f>SUM(J160:J176)</f>
        <v>824000</v>
      </c>
      <c r="K177" s="447">
        <f>SUM(K160:K176)</f>
        <v>840000</v>
      </c>
      <c r="L177" s="448">
        <f>SUM(L160:L176)</f>
        <v>900000</v>
      </c>
      <c r="M177" s="406"/>
      <c r="N177" s="406"/>
      <c r="O177" s="406"/>
      <c r="P177" s="406"/>
      <c r="Q177" s="406"/>
      <c r="R177" s="406"/>
      <c r="S177" s="406"/>
      <c r="T177" s="406"/>
      <c r="U177" s="406"/>
      <c r="V177" s="406"/>
      <c r="W177" s="406"/>
      <c r="X177" s="412"/>
      <c r="Y177" s="412"/>
    </row>
    <row r="178" spans="1:26" customHeight="1" ht="15" s="434" customFormat="1">
      <c r="A178" s="430" t="s">
        <v>217</v>
      </c>
      <c r="B178" s="402"/>
      <c r="C178" s="402"/>
      <c r="D178" s="402"/>
      <c r="E178" s="402"/>
      <c r="F178" s="402"/>
      <c r="G178" s="223"/>
      <c r="H178" s="431"/>
      <c r="I178" s="431"/>
      <c r="J178" s="431"/>
      <c r="K178" s="404"/>
      <c r="L178" s="405"/>
      <c r="M178" s="432"/>
      <c r="N178" s="432"/>
      <c r="O178" s="432"/>
      <c r="P178" s="432"/>
      <c r="Q178" s="432"/>
      <c r="R178" s="432"/>
      <c r="S178" s="432"/>
      <c r="T178" s="432"/>
      <c r="U178" s="432"/>
      <c r="V178" s="432"/>
      <c r="W178" s="432"/>
      <c r="X178" s="433"/>
      <c r="Y178" s="433"/>
    </row>
    <row r="179" spans="1:26" customHeight="1" ht="15" s="408" customFormat="1">
      <c r="B179" s="33" t="s">
        <v>243</v>
      </c>
      <c r="C179" s="33"/>
      <c r="D179" s="33"/>
      <c r="E179" s="33"/>
      <c r="F179" s="33"/>
      <c r="G179" s="208" t="s">
        <v>135</v>
      </c>
      <c r="H179" s="413"/>
      <c r="I179" s="413"/>
      <c r="J179" s="413"/>
      <c r="K179" s="404"/>
      <c r="L179" s="405"/>
      <c r="M179" s="406"/>
      <c r="N179" s="406"/>
      <c r="O179" s="406"/>
      <c r="P179" s="406"/>
      <c r="Q179" s="406"/>
      <c r="R179" s="406"/>
      <c r="S179" s="406"/>
      <c r="T179" s="406"/>
      <c r="U179" s="406"/>
      <c r="V179" s="406"/>
      <c r="W179" s="406"/>
      <c r="X179" s="407"/>
      <c r="Y179" s="407"/>
    </row>
    <row r="180" spans="1:26" customHeight="1" ht="15" s="408" customFormat="1">
      <c r="B180" s="33"/>
      <c r="C180" s="43" t="s">
        <v>231</v>
      </c>
      <c r="D180" s="33"/>
      <c r="E180" s="33"/>
      <c r="F180" s="33"/>
      <c r="G180" s="208"/>
      <c r="H180" s="413">
        <v>150000</v>
      </c>
      <c r="I180" s="413">
        <v>37000</v>
      </c>
      <c r="J180" s="413">
        <f>K180-I180</f>
        <v>573000</v>
      </c>
      <c r="K180" s="404">
        <v>610000</v>
      </c>
      <c r="L180" s="405">
        <v>610000</v>
      </c>
      <c r="M180" s="406"/>
      <c r="N180" s="406"/>
      <c r="O180" s="406"/>
      <c r="P180" s="406"/>
      <c r="Q180" s="406"/>
      <c r="R180" s="406"/>
      <c r="S180" s="406"/>
      <c r="T180" s="406"/>
      <c r="U180" s="406"/>
      <c r="V180" s="406"/>
      <c r="W180" s="406"/>
      <c r="X180" s="407"/>
      <c r="Y180" s="407"/>
    </row>
    <row r="181" spans="1:26" customHeight="1" ht="15" s="408" customFormat="1">
      <c r="B181" s="39"/>
      <c r="C181" s="34" t="s">
        <v>244</v>
      </c>
      <c r="D181" s="39"/>
      <c r="E181" s="39"/>
      <c r="F181" s="471"/>
      <c r="G181" s="208"/>
      <c r="H181" s="413"/>
      <c r="I181" s="413"/>
      <c r="J181" s="413"/>
      <c r="K181" s="404"/>
      <c r="L181" s="405"/>
      <c r="M181" s="406"/>
      <c r="N181" s="406"/>
      <c r="O181" s="406"/>
      <c r="P181" s="406"/>
      <c r="Q181" s="406"/>
      <c r="R181" s="406"/>
      <c r="S181" s="406"/>
      <c r="T181" s="406"/>
      <c r="U181" s="406"/>
      <c r="V181" s="406"/>
      <c r="W181" s="406"/>
      <c r="X181" s="407"/>
      <c r="Y181" s="407"/>
    </row>
    <row r="182" spans="1:26" customHeight="1" ht="15" s="408" customFormat="1">
      <c r="B182" s="39"/>
      <c r="C182" s="34" t="s">
        <v>245</v>
      </c>
      <c r="D182" s="39"/>
      <c r="E182" s="39"/>
      <c r="F182" s="472"/>
      <c r="G182" s="208"/>
      <c r="H182" s="413"/>
      <c r="I182" s="413"/>
      <c r="J182" s="413"/>
      <c r="K182" s="404"/>
      <c r="L182" s="405"/>
      <c r="M182" s="406"/>
      <c r="N182" s="406"/>
      <c r="O182" s="406"/>
      <c r="P182" s="406"/>
      <c r="Q182" s="406"/>
      <c r="R182" s="406"/>
      <c r="S182" s="406"/>
      <c r="T182" s="406"/>
      <c r="U182" s="406"/>
      <c r="V182" s="406"/>
      <c r="W182" s="406"/>
      <c r="X182" s="407"/>
      <c r="Y182" s="407"/>
    </row>
    <row r="183" spans="1:26" customHeight="1" ht="15" s="408" customFormat="1">
      <c r="B183" s="33" t="s">
        <v>142</v>
      </c>
      <c r="C183" s="33"/>
      <c r="D183" s="33"/>
      <c r="E183" s="33"/>
      <c r="F183" s="33"/>
      <c r="G183" s="208" t="s">
        <v>143</v>
      </c>
      <c r="H183" s="413">
        <v>1583856.18</v>
      </c>
      <c r="I183" s="413">
        <f>19607.5+14519.74+141035</f>
        <v>175162.24</v>
      </c>
      <c r="J183" s="413">
        <f>K183-I183</f>
        <v>4689837.76</v>
      </c>
      <c r="K183" s="404">
        <v>4865000</v>
      </c>
      <c r="L183" s="405">
        <f>SUM(F184:F198)</f>
        <v>4550000</v>
      </c>
      <c r="M183" s="406"/>
      <c r="N183" s="406"/>
      <c r="O183" s="406"/>
      <c r="P183" s="406"/>
      <c r="Q183" s="406"/>
      <c r="R183" s="406"/>
      <c r="S183" s="406"/>
      <c r="T183" s="406"/>
      <c r="U183" s="406"/>
      <c r="V183" s="406"/>
      <c r="W183" s="406"/>
      <c r="X183" s="407"/>
      <c r="Y183" s="407"/>
    </row>
    <row r="184" spans="1:26" customHeight="1" ht="15" s="435" customFormat="1">
      <c r="B184" s="33"/>
      <c r="C184" s="43" t="s">
        <v>218</v>
      </c>
      <c r="D184" s="33"/>
      <c r="E184" s="33"/>
      <c r="F184" s="439">
        <v>800000</v>
      </c>
      <c r="G184" s="223"/>
      <c r="H184" s="440"/>
      <c r="I184" s="440"/>
      <c r="J184" s="440"/>
      <c r="K184" s="441"/>
      <c r="L184" s="439"/>
      <c r="M184" s="437"/>
      <c r="N184" s="437">
        <f>SUM(L184:L198)</f>
        <v>0</v>
      </c>
      <c r="O184" s="437"/>
      <c r="P184" s="437"/>
      <c r="Q184" s="437"/>
      <c r="R184" s="437"/>
      <c r="S184" s="437"/>
      <c r="T184" s="437"/>
      <c r="U184" s="437"/>
      <c r="V184" s="437"/>
      <c r="W184" s="437"/>
      <c r="X184" s="438"/>
      <c r="Y184" s="438"/>
    </row>
    <row r="185" spans="1:26" customHeight="1" ht="15" s="435" customFormat="1">
      <c r="B185" s="33"/>
      <c r="C185" s="43" t="s">
        <v>219</v>
      </c>
      <c r="D185" s="33"/>
      <c r="E185" s="33"/>
      <c r="F185" s="439">
        <v>300000</v>
      </c>
      <c r="G185" s="223"/>
      <c r="H185" s="440"/>
      <c r="I185" s="440"/>
      <c r="J185" s="440"/>
      <c r="K185" s="441"/>
      <c r="L185" s="439"/>
      <c r="M185" s="437"/>
      <c r="N185" s="437"/>
      <c r="O185" s="437"/>
      <c r="P185" s="437"/>
      <c r="Q185" s="437"/>
      <c r="R185" s="437"/>
      <c r="S185" s="437"/>
      <c r="T185" s="437"/>
      <c r="U185" s="437"/>
      <c r="V185" s="437"/>
      <c r="W185" s="437"/>
      <c r="X185" s="438"/>
      <c r="Y185" s="438"/>
    </row>
    <row r="186" spans="1:26" customHeight="1" ht="15" s="435" customFormat="1">
      <c r="B186" s="33"/>
      <c r="C186" s="43" t="s">
        <v>220</v>
      </c>
      <c r="D186" s="33"/>
      <c r="E186" s="33"/>
      <c r="F186" s="439">
        <v>300000</v>
      </c>
      <c r="G186" s="223"/>
      <c r="H186" s="440"/>
      <c r="I186" s="440"/>
      <c r="J186" s="440"/>
      <c r="K186" s="441"/>
      <c r="L186" s="439"/>
      <c r="M186" s="437"/>
      <c r="N186" s="437"/>
      <c r="O186" s="437"/>
      <c r="P186" s="437"/>
      <c r="Q186" s="437"/>
      <c r="R186" s="437"/>
      <c r="S186" s="437"/>
      <c r="T186" s="437"/>
      <c r="U186" s="437"/>
      <c r="V186" s="437"/>
      <c r="W186" s="437"/>
      <c r="X186" s="438"/>
      <c r="Y186" s="438"/>
    </row>
    <row r="187" spans="1:26" customHeight="1" ht="15" s="435" customFormat="1">
      <c r="B187" s="33"/>
      <c r="C187" s="43" t="s">
        <v>221</v>
      </c>
      <c r="D187" s="33"/>
      <c r="E187" s="33"/>
      <c r="F187" s="439">
        <v>300000</v>
      </c>
      <c r="G187" s="223"/>
      <c r="H187" s="440"/>
      <c r="I187" s="440"/>
      <c r="J187" s="440"/>
      <c r="K187" s="441"/>
      <c r="L187" s="439"/>
      <c r="M187" s="437"/>
      <c r="N187" s="437"/>
      <c r="O187" s="437"/>
      <c r="P187" s="437"/>
      <c r="Q187" s="437"/>
      <c r="R187" s="437"/>
      <c r="S187" s="437"/>
      <c r="T187" s="437"/>
      <c r="U187" s="437"/>
      <c r="V187" s="437"/>
      <c r="W187" s="437"/>
      <c r="X187" s="438"/>
      <c r="Y187" s="438"/>
    </row>
    <row r="188" spans="1:26" customHeight="1" ht="15" s="435" customFormat="1">
      <c r="B188" s="33"/>
      <c r="C188" s="43" t="s">
        <v>222</v>
      </c>
      <c r="D188" s="33"/>
      <c r="E188" s="33"/>
      <c r="F188" s="439">
        <v>300000</v>
      </c>
      <c r="G188" s="223"/>
      <c r="H188" s="440"/>
      <c r="I188" s="440"/>
      <c r="J188" s="440"/>
      <c r="K188" s="441"/>
      <c r="L188" s="439"/>
      <c r="M188" s="437"/>
      <c r="N188" s="437"/>
      <c r="O188" s="437"/>
      <c r="P188" s="437"/>
      <c r="Q188" s="437"/>
      <c r="R188" s="437"/>
      <c r="S188" s="437"/>
      <c r="T188" s="437"/>
      <c r="U188" s="437"/>
      <c r="V188" s="437"/>
      <c r="W188" s="437"/>
      <c r="X188" s="438"/>
      <c r="Y188" s="438"/>
    </row>
    <row r="189" spans="1:26" customHeight="1" ht="15" s="435" customFormat="1">
      <c r="B189" s="33"/>
      <c r="C189" s="43" t="s">
        <v>223</v>
      </c>
      <c r="D189" s="33"/>
      <c r="E189" s="33"/>
      <c r="F189" s="439">
        <v>300000</v>
      </c>
      <c r="G189" s="223"/>
      <c r="H189" s="440"/>
      <c r="I189" s="440"/>
      <c r="J189" s="440"/>
      <c r="K189" s="441"/>
      <c r="L189" s="439"/>
      <c r="M189" s="437"/>
      <c r="N189" s="437"/>
      <c r="O189" s="437"/>
      <c r="P189" s="437"/>
      <c r="Q189" s="437"/>
      <c r="R189" s="437"/>
      <c r="S189" s="437"/>
      <c r="T189" s="437"/>
      <c r="U189" s="437"/>
      <c r="V189" s="437"/>
      <c r="W189" s="437"/>
      <c r="X189" s="438"/>
      <c r="Y189" s="438"/>
    </row>
    <row r="190" spans="1:26" customHeight="1" ht="15" s="435" customFormat="1">
      <c r="B190" s="33"/>
      <c r="C190" s="43" t="s">
        <v>224</v>
      </c>
      <c r="D190" s="33"/>
      <c r="E190" s="33"/>
      <c r="F190" s="439">
        <v>300000</v>
      </c>
      <c r="G190" s="223"/>
      <c r="H190" s="440"/>
      <c r="I190" s="440"/>
      <c r="J190" s="440"/>
      <c r="K190" s="441"/>
      <c r="L190" s="439"/>
      <c r="M190" s="437"/>
      <c r="N190" s="437"/>
      <c r="O190" s="437"/>
      <c r="P190" s="437"/>
      <c r="Q190" s="437"/>
      <c r="R190" s="437"/>
      <c r="S190" s="437"/>
      <c r="T190" s="437"/>
      <c r="U190" s="437"/>
      <c r="V190" s="437"/>
      <c r="W190" s="437"/>
      <c r="X190" s="438"/>
      <c r="Y190" s="438"/>
    </row>
    <row r="191" spans="1:26" customHeight="1" ht="15" s="435" customFormat="1">
      <c r="B191" s="33"/>
      <c r="C191" s="43" t="s">
        <v>225</v>
      </c>
      <c r="D191" s="33"/>
      <c r="E191" s="33"/>
      <c r="F191" s="439">
        <v>300000</v>
      </c>
      <c r="G191" s="223"/>
      <c r="H191" s="440"/>
      <c r="I191" s="440"/>
      <c r="J191" s="440"/>
      <c r="K191" s="441"/>
      <c r="L191" s="439"/>
      <c r="M191" s="437"/>
      <c r="N191" s="437"/>
      <c r="O191" s="437"/>
      <c r="P191" s="437"/>
      <c r="Q191" s="437"/>
      <c r="R191" s="437"/>
      <c r="S191" s="437"/>
      <c r="T191" s="437"/>
      <c r="U191" s="437"/>
      <c r="V191" s="437"/>
      <c r="W191" s="437"/>
      <c r="X191" s="438"/>
      <c r="Y191" s="438"/>
    </row>
    <row r="192" spans="1:26" customHeight="1" ht="15" s="435" customFormat="1">
      <c r="B192" s="33"/>
      <c r="C192" s="43" t="s">
        <v>226</v>
      </c>
      <c r="D192" s="33"/>
      <c r="E192" s="33"/>
      <c r="F192" s="439">
        <v>300000</v>
      </c>
      <c r="G192" s="223"/>
      <c r="H192" s="440"/>
      <c r="I192" s="440"/>
      <c r="J192" s="440"/>
      <c r="K192" s="441"/>
      <c r="L192" s="439"/>
      <c r="M192" s="437"/>
      <c r="N192" s="437"/>
      <c r="O192" s="437"/>
      <c r="P192" s="437"/>
      <c r="Q192" s="437"/>
      <c r="R192" s="437"/>
      <c r="S192" s="437"/>
      <c r="T192" s="437"/>
      <c r="U192" s="437"/>
      <c r="V192" s="437"/>
      <c r="W192" s="437"/>
      <c r="X192" s="438"/>
      <c r="Y192" s="438"/>
    </row>
    <row r="193" spans="1:26" customHeight="1" ht="15" s="435" customFormat="1">
      <c r="B193" s="33"/>
      <c r="C193" s="43" t="s">
        <v>227</v>
      </c>
      <c r="D193" s="33"/>
      <c r="E193" s="33"/>
      <c r="F193" s="439">
        <v>300000</v>
      </c>
      <c r="G193" s="223"/>
      <c r="H193" s="440"/>
      <c r="I193" s="440"/>
      <c r="J193" s="440"/>
      <c r="K193" s="441"/>
      <c r="L193" s="439"/>
      <c r="M193" s="437"/>
      <c r="N193" s="437"/>
      <c r="O193" s="437"/>
      <c r="P193" s="437"/>
      <c r="Q193" s="437"/>
      <c r="R193" s="437"/>
      <c r="S193" s="437"/>
      <c r="T193" s="437"/>
      <c r="U193" s="437"/>
      <c r="V193" s="437"/>
      <c r="W193" s="437"/>
      <c r="X193" s="438"/>
      <c r="Y193" s="438"/>
    </row>
    <row r="194" spans="1:26" customHeight="1" ht="15" s="435" customFormat="1">
      <c r="B194" s="33"/>
      <c r="C194" s="43" t="s">
        <v>228</v>
      </c>
      <c r="D194" s="33"/>
      <c r="E194" s="33"/>
      <c r="F194" s="439">
        <v>300000</v>
      </c>
      <c r="G194" s="223"/>
      <c r="H194" s="440"/>
      <c r="I194" s="440"/>
      <c r="J194" s="440"/>
      <c r="K194" s="441"/>
      <c r="L194" s="439"/>
      <c r="M194" s="437"/>
      <c r="N194" s="437"/>
      <c r="O194" s="437"/>
      <c r="P194" s="437"/>
      <c r="Q194" s="437"/>
      <c r="R194" s="437"/>
      <c r="S194" s="437"/>
      <c r="T194" s="437"/>
      <c r="U194" s="437"/>
      <c r="V194" s="437"/>
      <c r="W194" s="437"/>
      <c r="X194" s="438"/>
      <c r="Y194" s="438"/>
    </row>
    <row r="195" spans="1:26" customHeight="1" ht="15" s="435" customFormat="1">
      <c r="B195" s="33"/>
      <c r="C195" s="43" t="s">
        <v>229</v>
      </c>
      <c r="D195" s="33"/>
      <c r="E195" s="33"/>
      <c r="F195" s="439">
        <v>250000</v>
      </c>
      <c r="G195" s="223"/>
      <c r="H195" s="440"/>
      <c r="I195" s="440"/>
      <c r="J195" s="440"/>
      <c r="K195" s="441"/>
      <c r="L195" s="439"/>
      <c r="M195" s="437"/>
      <c r="N195" s="437"/>
      <c r="O195" s="437"/>
      <c r="P195" s="437"/>
      <c r="Q195" s="437"/>
      <c r="R195" s="437"/>
      <c r="S195" s="437"/>
      <c r="T195" s="437"/>
      <c r="U195" s="437"/>
      <c r="V195" s="437"/>
      <c r="W195" s="437"/>
      <c r="X195" s="438"/>
      <c r="Y195" s="438"/>
    </row>
    <row r="196" spans="1:26" customHeight="1" ht="15" s="435" customFormat="1">
      <c r="B196" s="33"/>
      <c r="C196" s="43" t="s">
        <v>230</v>
      </c>
      <c r="D196" s="33"/>
      <c r="E196" s="33"/>
      <c r="F196" s="439">
        <v>250000</v>
      </c>
      <c r="G196" s="223"/>
      <c r="H196" s="440"/>
      <c r="I196" s="440"/>
      <c r="J196" s="440"/>
      <c r="K196" s="441"/>
      <c r="L196" s="439"/>
      <c r="M196" s="437"/>
      <c r="N196" s="437"/>
      <c r="O196" s="437"/>
      <c r="P196" s="437"/>
      <c r="Q196" s="437"/>
      <c r="R196" s="437"/>
      <c r="S196" s="437"/>
      <c r="T196" s="437"/>
      <c r="U196" s="437"/>
      <c r="V196" s="437"/>
      <c r="W196" s="437"/>
      <c r="X196" s="438"/>
      <c r="Y196" s="438"/>
    </row>
    <row r="197" spans="1:26" customHeight="1" ht="15" s="435" customFormat="1">
      <c r="B197" s="33"/>
      <c r="C197" s="43" t="s">
        <v>231</v>
      </c>
      <c r="D197" s="33"/>
      <c r="E197" s="33"/>
      <c r="F197" s="439">
        <v>150000</v>
      </c>
      <c r="G197" s="223"/>
      <c r="H197" s="440"/>
      <c r="I197" s="440"/>
      <c r="J197" s="440"/>
      <c r="K197" s="441"/>
      <c r="L197" s="439"/>
      <c r="M197" s="437"/>
      <c r="N197" s="437"/>
      <c r="O197" s="437"/>
      <c r="P197" s="437"/>
      <c r="Q197" s="437"/>
      <c r="R197" s="437"/>
      <c r="S197" s="437"/>
      <c r="T197" s="437"/>
      <c r="U197" s="437"/>
      <c r="V197" s="437"/>
      <c r="W197" s="437"/>
      <c r="X197" s="438"/>
      <c r="Y197" s="438"/>
    </row>
    <row r="198" spans="1:26" customHeight="1" ht="15" s="408" customFormat="1">
      <c r="B198" s="33"/>
      <c r="C198" s="43" t="s">
        <v>232</v>
      </c>
      <c r="D198" s="33"/>
      <c r="E198" s="33"/>
      <c r="F198" s="449">
        <v>100000</v>
      </c>
      <c r="G198" s="208"/>
      <c r="H198" s="443">
        <v>0</v>
      </c>
      <c r="I198" s="443">
        <v>0</v>
      </c>
      <c r="J198" s="443">
        <v>0</v>
      </c>
      <c r="K198" s="450">
        <v>0</v>
      </c>
      <c r="L198" s="449">
        <v>0</v>
      </c>
      <c r="M198" s="406"/>
      <c r="N198" s="406"/>
      <c r="O198" s="406"/>
      <c r="P198" s="406"/>
      <c r="Q198" s="406"/>
      <c r="R198" s="406"/>
      <c r="S198" s="406"/>
      <c r="T198" s="406"/>
      <c r="U198" s="406"/>
      <c r="V198" s="406"/>
      <c r="W198" s="406"/>
      <c r="X198" s="407"/>
      <c r="Y198" s="407"/>
    </row>
    <row r="199" spans="1:26" customHeight="1" ht="18.95" s="40" customFormat="1">
      <c r="A199" s="445" t="s">
        <v>233</v>
      </c>
      <c r="B199" s="163"/>
      <c r="C199" s="163"/>
      <c r="D199" s="163"/>
      <c r="E199" s="163"/>
      <c r="F199" s="163"/>
      <c r="G199" s="446"/>
      <c r="H199" s="447">
        <f>SUM(H179:H198)</f>
        <v>1733856.18</v>
      </c>
      <c r="I199" s="447">
        <f>SUM(I179:I198)</f>
        <v>212162.24</v>
      </c>
      <c r="J199" s="447">
        <f>SUM(J179:J198)</f>
        <v>5262837.76</v>
      </c>
      <c r="K199" s="447">
        <f>SUM(K179:K198)</f>
        <v>5475000</v>
      </c>
      <c r="L199" s="448">
        <f>SUM(L179:L198)</f>
        <v>5160000</v>
      </c>
      <c r="M199" s="406"/>
      <c r="N199" s="406"/>
      <c r="O199" s="406"/>
      <c r="P199" s="406"/>
      <c r="Q199" s="406"/>
      <c r="R199" s="406"/>
      <c r="S199" s="406"/>
      <c r="T199" s="406"/>
      <c r="U199" s="406"/>
      <c r="V199" s="406"/>
      <c r="W199" s="406"/>
      <c r="X199" s="412"/>
      <c r="Y199" s="412"/>
    </row>
    <row r="200" spans="1:26" customHeight="1" ht="15" s="434" customFormat="1">
      <c r="A200" s="430" t="s">
        <v>217</v>
      </c>
      <c r="B200" s="402"/>
      <c r="C200" s="402"/>
      <c r="D200" s="402"/>
      <c r="E200" s="402"/>
      <c r="F200" s="402"/>
      <c r="G200" s="223"/>
      <c r="H200" s="431"/>
      <c r="I200" s="431"/>
      <c r="J200" s="431"/>
      <c r="K200" s="404"/>
      <c r="L200" s="405"/>
      <c r="M200" s="432"/>
      <c r="N200" s="432"/>
      <c r="O200" s="432"/>
      <c r="P200" s="432"/>
      <c r="Q200" s="432"/>
      <c r="R200" s="432"/>
      <c r="S200" s="432"/>
      <c r="T200" s="432"/>
      <c r="U200" s="432"/>
      <c r="V200" s="432"/>
      <c r="W200" s="432"/>
      <c r="X200" s="433"/>
      <c r="Y200" s="433"/>
    </row>
    <row r="201" spans="1:26" customHeight="1" ht="15.95" s="408" customFormat="1">
      <c r="B201" s="33" t="s">
        <v>150</v>
      </c>
      <c r="C201" s="33"/>
      <c r="D201" s="33"/>
      <c r="E201" s="33"/>
      <c r="F201" s="33"/>
      <c r="G201" s="208" t="s">
        <v>107</v>
      </c>
      <c r="H201" s="413">
        <v>122703285.95</v>
      </c>
      <c r="I201" s="413">
        <f>10727686.25+2417000+2605800+2057800+2244800+2084800+2203200+2017600+1924800+2723600+2670000+1713000+466039.99+963200+254800</f>
        <v>37074126.24</v>
      </c>
      <c r="J201" s="413">
        <f>K201-I201</f>
        <v>35025373.76</v>
      </c>
      <c r="K201" s="404">
        <v>72099500</v>
      </c>
      <c r="L201" s="405">
        <f>SUM(F202:F217)</f>
        <v>57600000</v>
      </c>
      <c r="M201" s="406"/>
      <c r="N201" s="406"/>
      <c r="O201" s="406"/>
      <c r="P201" s="406"/>
      <c r="Q201" s="406"/>
      <c r="R201" s="406"/>
      <c r="S201" s="406"/>
      <c r="T201" s="406"/>
      <c r="U201" s="406"/>
      <c r="V201" s="406"/>
      <c r="W201" s="406"/>
      <c r="X201" s="407"/>
      <c r="Y201" s="407"/>
    </row>
    <row r="202" spans="1:26" customHeight="1" ht="15.95" s="408" customFormat="1">
      <c r="B202" s="39"/>
      <c r="C202" s="39" t="s">
        <v>246</v>
      </c>
      <c r="D202" s="39"/>
      <c r="E202" s="39"/>
      <c r="F202" s="453"/>
      <c r="G202" s="208"/>
      <c r="H202" s="464"/>
      <c r="I202" s="464"/>
      <c r="J202" s="464"/>
      <c r="K202" s="416"/>
      <c r="L202" s="417"/>
      <c r="M202" s="406"/>
      <c r="N202" s="406"/>
      <c r="O202" s="406"/>
      <c r="P202" s="406"/>
      <c r="Q202" s="406"/>
      <c r="R202" s="406"/>
      <c r="S202" s="406"/>
      <c r="T202" s="406"/>
      <c r="U202" s="406"/>
      <c r="V202" s="406"/>
      <c r="W202" s="406"/>
      <c r="X202" s="407"/>
      <c r="Y202" s="407"/>
    </row>
    <row r="203" spans="1:26" customHeight="1" ht="15.95" s="435" customFormat="1">
      <c r="B203" s="33"/>
      <c r="C203" s="34" t="s">
        <v>218</v>
      </c>
      <c r="D203" s="33"/>
      <c r="E203" s="33"/>
      <c r="F203" s="439">
        <v>14000000</v>
      </c>
      <c r="G203" s="223"/>
      <c r="H203" s="223"/>
      <c r="I203" s="223"/>
      <c r="J203" s="223"/>
      <c r="K203" s="441"/>
      <c r="L203" s="439"/>
      <c r="M203" s="437"/>
      <c r="N203" s="437">
        <f>SUM(L203:L217)</f>
        <v>0</v>
      </c>
      <c r="O203" s="437"/>
      <c r="P203" s="437"/>
      <c r="Q203" s="437"/>
      <c r="R203" s="437"/>
      <c r="S203" s="437"/>
      <c r="T203" s="437"/>
      <c r="U203" s="437"/>
      <c r="V203" s="437"/>
      <c r="W203" s="437"/>
      <c r="X203" s="438"/>
      <c r="Y203" s="438"/>
    </row>
    <row r="204" spans="1:26" customHeight="1" ht="15.95" s="435" customFormat="1">
      <c r="B204" s="33"/>
      <c r="C204" s="34" t="s">
        <v>219</v>
      </c>
      <c r="D204" s="33"/>
      <c r="E204" s="33"/>
      <c r="F204" s="439">
        <v>3770000</v>
      </c>
      <c r="G204" s="223"/>
      <c r="H204" s="223"/>
      <c r="I204" s="223"/>
      <c r="J204" s="223"/>
      <c r="K204" s="441"/>
      <c r="L204" s="439"/>
      <c r="M204" s="437"/>
      <c r="N204" s="437"/>
      <c r="O204" s="437"/>
      <c r="P204" s="437"/>
      <c r="Q204" s="437"/>
      <c r="R204" s="437"/>
      <c r="S204" s="437"/>
      <c r="T204" s="437"/>
      <c r="U204" s="437"/>
      <c r="V204" s="437"/>
      <c r="W204" s="437"/>
      <c r="X204" s="438"/>
      <c r="Y204" s="438"/>
    </row>
    <row r="205" spans="1:26" customHeight="1" ht="15.95" s="435" customFormat="1">
      <c r="B205" s="33"/>
      <c r="C205" s="34" t="s">
        <v>220</v>
      </c>
      <c r="D205" s="33"/>
      <c r="E205" s="33"/>
      <c r="F205" s="439">
        <v>3770000</v>
      </c>
      <c r="G205" s="223"/>
      <c r="H205" s="223"/>
      <c r="I205" s="223"/>
      <c r="J205" s="223"/>
      <c r="K205" s="441"/>
      <c r="L205" s="439"/>
      <c r="M205" s="437"/>
      <c r="N205" s="437"/>
      <c r="O205" s="437"/>
      <c r="P205" s="437"/>
      <c r="Q205" s="437"/>
      <c r="R205" s="437"/>
      <c r="S205" s="437"/>
      <c r="T205" s="437"/>
      <c r="U205" s="437"/>
      <c r="V205" s="437"/>
      <c r="W205" s="437"/>
      <c r="X205" s="438"/>
      <c r="Y205" s="438"/>
    </row>
    <row r="206" spans="1:26" customHeight="1" ht="15.95" s="435" customFormat="1">
      <c r="B206" s="33"/>
      <c r="C206" s="34" t="s">
        <v>221</v>
      </c>
      <c r="D206" s="33"/>
      <c r="E206" s="33"/>
      <c r="F206" s="439">
        <v>3770000</v>
      </c>
      <c r="G206" s="223"/>
      <c r="H206" s="223"/>
      <c r="I206" s="223"/>
      <c r="J206" s="223"/>
      <c r="K206" s="441"/>
      <c r="L206" s="439"/>
      <c r="M206" s="437"/>
      <c r="N206" s="437"/>
      <c r="O206" s="437"/>
      <c r="P206" s="437"/>
      <c r="Q206" s="437"/>
      <c r="R206" s="437"/>
      <c r="S206" s="437"/>
      <c r="T206" s="437"/>
      <c r="U206" s="437"/>
      <c r="V206" s="437"/>
      <c r="W206" s="437"/>
      <c r="X206" s="438"/>
      <c r="Y206" s="438"/>
    </row>
    <row r="207" spans="1:26" customHeight="1" ht="15.95" s="435" customFormat="1">
      <c r="B207" s="33"/>
      <c r="C207" s="34" t="s">
        <v>222</v>
      </c>
      <c r="D207" s="33"/>
      <c r="E207" s="33"/>
      <c r="F207" s="439">
        <v>3770000</v>
      </c>
      <c r="G207" s="223"/>
      <c r="H207" s="223"/>
      <c r="I207" s="223"/>
      <c r="J207" s="223"/>
      <c r="K207" s="441"/>
      <c r="L207" s="439"/>
      <c r="M207" s="437"/>
      <c r="N207" s="437"/>
      <c r="O207" s="437"/>
      <c r="P207" s="437"/>
      <c r="Q207" s="437"/>
      <c r="R207" s="437"/>
      <c r="S207" s="437"/>
      <c r="T207" s="437"/>
      <c r="U207" s="437"/>
      <c r="V207" s="437"/>
      <c r="W207" s="437"/>
      <c r="X207" s="438"/>
      <c r="Y207" s="438"/>
    </row>
    <row r="208" spans="1:26" customHeight="1" ht="15.95" s="435" customFormat="1">
      <c r="B208" s="33"/>
      <c r="C208" s="34" t="s">
        <v>223</v>
      </c>
      <c r="D208" s="33"/>
      <c r="E208" s="33"/>
      <c r="F208" s="439">
        <v>3770000</v>
      </c>
      <c r="G208" s="223"/>
      <c r="H208" s="223"/>
      <c r="I208" s="223"/>
      <c r="J208" s="223"/>
      <c r="K208" s="441"/>
      <c r="L208" s="439"/>
      <c r="M208" s="437"/>
      <c r="N208" s="437"/>
      <c r="O208" s="437"/>
      <c r="P208" s="437"/>
      <c r="Q208" s="437"/>
      <c r="R208" s="437"/>
      <c r="S208" s="437"/>
      <c r="T208" s="437"/>
      <c r="U208" s="437"/>
      <c r="V208" s="437"/>
      <c r="W208" s="437"/>
      <c r="X208" s="438"/>
      <c r="Y208" s="438"/>
    </row>
    <row r="209" spans="1:26" customHeight="1" ht="15.95" s="435" customFormat="1">
      <c r="B209" s="33"/>
      <c r="C209" s="34" t="s">
        <v>224</v>
      </c>
      <c r="D209" s="33"/>
      <c r="E209" s="33"/>
      <c r="F209" s="439">
        <v>3770000</v>
      </c>
      <c r="G209" s="223"/>
      <c r="H209" s="223"/>
      <c r="I209" s="223"/>
      <c r="J209" s="223"/>
      <c r="K209" s="441"/>
      <c r="L209" s="439"/>
      <c r="M209" s="437"/>
      <c r="N209" s="437"/>
      <c r="O209" s="437"/>
      <c r="P209" s="437"/>
      <c r="Q209" s="437"/>
      <c r="R209" s="437"/>
      <c r="S209" s="437"/>
      <c r="T209" s="437"/>
      <c r="U209" s="437"/>
      <c r="V209" s="437"/>
      <c r="W209" s="437"/>
      <c r="X209" s="438"/>
      <c r="Y209" s="438"/>
    </row>
    <row r="210" spans="1:26" customHeight="1" ht="15.95" s="435" customFormat="1">
      <c r="B210" s="33"/>
      <c r="C210" s="34" t="s">
        <v>225</v>
      </c>
      <c r="D210" s="33"/>
      <c r="E210" s="33"/>
      <c r="F210" s="439">
        <v>3770000</v>
      </c>
      <c r="G210" s="223"/>
      <c r="H210" s="223"/>
      <c r="I210" s="223"/>
      <c r="J210" s="223"/>
      <c r="K210" s="441"/>
      <c r="L210" s="439"/>
      <c r="M210" s="437"/>
      <c r="N210" s="437"/>
      <c r="O210" s="437"/>
      <c r="P210" s="437"/>
      <c r="Q210" s="437"/>
      <c r="R210" s="437"/>
      <c r="S210" s="437"/>
      <c r="T210" s="437"/>
      <c r="U210" s="437"/>
      <c r="V210" s="437"/>
      <c r="W210" s="437"/>
      <c r="X210" s="438"/>
      <c r="Y210" s="438"/>
    </row>
    <row r="211" spans="1:26" customHeight="1" ht="15.95" s="435" customFormat="1">
      <c r="B211" s="33"/>
      <c r="C211" s="34" t="s">
        <v>226</v>
      </c>
      <c r="D211" s="33"/>
      <c r="E211" s="33"/>
      <c r="F211" s="439">
        <v>3770000</v>
      </c>
      <c r="G211" s="223"/>
      <c r="H211" s="223"/>
      <c r="I211" s="223"/>
      <c r="J211" s="223"/>
      <c r="K211" s="441"/>
      <c r="L211" s="439"/>
      <c r="M211" s="437"/>
      <c r="N211" s="437"/>
      <c r="O211" s="437"/>
      <c r="P211" s="437"/>
      <c r="Q211" s="437"/>
      <c r="R211" s="437"/>
      <c r="S211" s="437"/>
      <c r="T211" s="437"/>
      <c r="U211" s="437"/>
      <c r="V211" s="437"/>
      <c r="W211" s="437"/>
      <c r="X211" s="438"/>
      <c r="Y211" s="438"/>
    </row>
    <row r="212" spans="1:26" customHeight="1" ht="15.95" s="435" customFormat="1">
      <c r="B212" s="33"/>
      <c r="C212" s="34" t="s">
        <v>227</v>
      </c>
      <c r="D212" s="33"/>
      <c r="E212" s="33"/>
      <c r="F212" s="439">
        <v>3770000</v>
      </c>
      <c r="G212" s="223"/>
      <c r="H212" s="223"/>
      <c r="I212" s="223"/>
      <c r="J212" s="223"/>
      <c r="K212" s="441"/>
      <c r="L212" s="439"/>
      <c r="M212" s="437"/>
      <c r="N212" s="437"/>
      <c r="O212" s="437"/>
      <c r="P212" s="437"/>
      <c r="Q212" s="437"/>
      <c r="R212" s="437"/>
      <c r="S212" s="437"/>
      <c r="T212" s="437"/>
      <c r="U212" s="437"/>
      <c r="V212" s="437"/>
      <c r="W212" s="437"/>
      <c r="X212" s="438"/>
      <c r="Y212" s="438"/>
    </row>
    <row r="213" spans="1:26" customHeight="1" ht="15.95" s="435" customFormat="1">
      <c r="B213" s="33"/>
      <c r="C213" s="34" t="s">
        <v>228</v>
      </c>
      <c r="D213" s="33"/>
      <c r="E213" s="33"/>
      <c r="F213" s="439">
        <v>3770000</v>
      </c>
      <c r="G213" s="223"/>
      <c r="H213" s="223"/>
      <c r="I213" s="223"/>
      <c r="J213" s="223"/>
      <c r="K213" s="441"/>
      <c r="L213" s="439"/>
      <c r="M213" s="437"/>
      <c r="N213" s="437"/>
      <c r="O213" s="437"/>
      <c r="P213" s="437"/>
      <c r="Q213" s="437"/>
      <c r="R213" s="437"/>
      <c r="S213" s="437"/>
      <c r="T213" s="437"/>
      <c r="U213" s="437"/>
      <c r="V213" s="437"/>
      <c r="W213" s="437"/>
      <c r="X213" s="438"/>
      <c r="Y213" s="438"/>
    </row>
    <row r="214" spans="1:26" customHeight="1" ht="15.95" s="435" customFormat="1">
      <c r="B214" s="33"/>
      <c r="C214" s="34" t="s">
        <v>229</v>
      </c>
      <c r="D214" s="33"/>
      <c r="E214" s="33"/>
      <c r="F214" s="439">
        <v>2200000</v>
      </c>
      <c r="G214" s="223"/>
      <c r="H214" s="223"/>
      <c r="I214" s="223"/>
      <c r="J214" s="223"/>
      <c r="K214" s="441"/>
      <c r="L214" s="439"/>
      <c r="M214" s="437"/>
      <c r="N214" s="437"/>
      <c r="O214" s="437"/>
      <c r="P214" s="437"/>
      <c r="Q214" s="437"/>
      <c r="R214" s="437"/>
      <c r="S214" s="437"/>
      <c r="T214" s="437"/>
      <c r="U214" s="437"/>
      <c r="V214" s="437"/>
      <c r="W214" s="437"/>
      <c r="X214" s="438"/>
      <c r="Y214" s="438"/>
    </row>
    <row r="215" spans="1:26" customHeight="1" ht="15.95" s="435" customFormat="1">
      <c r="B215" s="33"/>
      <c r="C215" s="34" t="s">
        <v>230</v>
      </c>
      <c r="D215" s="33"/>
      <c r="E215" s="33"/>
      <c r="F215" s="439">
        <v>1700000</v>
      </c>
      <c r="G215" s="223"/>
      <c r="H215" s="223"/>
      <c r="I215" s="223"/>
      <c r="J215" s="223"/>
      <c r="K215" s="441"/>
      <c r="L215" s="439"/>
      <c r="M215" s="437"/>
      <c r="N215" s="437"/>
      <c r="O215" s="437"/>
      <c r="P215" s="437"/>
      <c r="Q215" s="437"/>
      <c r="R215" s="437"/>
      <c r="S215" s="437"/>
      <c r="T215" s="437"/>
      <c r="U215" s="437"/>
      <c r="V215" s="437"/>
      <c r="W215" s="437"/>
      <c r="X215" s="438"/>
      <c r="Y215" s="438"/>
    </row>
    <row r="216" spans="1:26" customHeight="1" ht="15.95" s="435" customFormat="1">
      <c r="B216" s="33"/>
      <c r="C216" s="34" t="s">
        <v>231</v>
      </c>
      <c r="D216" s="33"/>
      <c r="E216" s="33"/>
      <c r="F216" s="439">
        <v>1000000</v>
      </c>
      <c r="G216" s="223"/>
      <c r="H216" s="223"/>
      <c r="I216" s="223"/>
      <c r="J216" s="223"/>
      <c r="K216" s="441"/>
      <c r="L216" s="439"/>
      <c r="M216" s="437"/>
      <c r="N216" s="437"/>
      <c r="O216" s="437"/>
      <c r="P216" s="437"/>
      <c r="Q216" s="437"/>
      <c r="R216" s="437"/>
      <c r="S216" s="437"/>
      <c r="T216" s="437"/>
      <c r="U216" s="437"/>
      <c r="V216" s="437"/>
      <c r="W216" s="437"/>
      <c r="X216" s="438"/>
      <c r="Y216" s="438"/>
    </row>
    <row r="217" spans="1:26" customHeight="1" ht="15.95" s="408" customFormat="1">
      <c r="B217" s="33"/>
      <c r="C217" s="39" t="s">
        <v>232</v>
      </c>
      <c r="D217" s="33"/>
      <c r="E217" s="33"/>
      <c r="F217" s="449">
        <v>1000000</v>
      </c>
      <c r="G217" s="208"/>
      <c r="H217" s="208"/>
      <c r="I217" s="208"/>
      <c r="J217" s="208"/>
      <c r="K217" s="469"/>
      <c r="L217" s="470"/>
      <c r="M217" s="406"/>
      <c r="N217" s="406"/>
      <c r="O217" s="406"/>
      <c r="P217" s="406"/>
      <c r="Q217" s="406"/>
      <c r="R217" s="406"/>
      <c r="S217" s="406"/>
      <c r="T217" s="406"/>
      <c r="U217" s="406"/>
      <c r="V217" s="406"/>
      <c r="W217" s="406"/>
      <c r="X217" s="407"/>
      <c r="Y217" s="407"/>
    </row>
    <row r="218" spans="1:26" customHeight="1" ht="15.95" s="482" customFormat="1">
      <c r="A218" s="473" t="s">
        <v>233</v>
      </c>
      <c r="B218" s="474"/>
      <c r="C218" s="474"/>
      <c r="D218" s="475"/>
      <c r="E218" s="475"/>
      <c r="F218" s="476"/>
      <c r="G218" s="477"/>
      <c r="H218" s="478">
        <f>SUM(H201:H217)</f>
        <v>122703285.95</v>
      </c>
      <c r="I218" s="478">
        <f>SUM(I201:I217)</f>
        <v>37074126.24</v>
      </c>
      <c r="J218" s="478">
        <f>SUM(J201:J217)</f>
        <v>35025373.76</v>
      </c>
      <c r="K218" s="478">
        <f>SUM(K201:K217)</f>
        <v>72099500</v>
      </c>
      <c r="L218" s="479">
        <f>SUM(L201:L217)</f>
        <v>57600000</v>
      </c>
      <c r="M218" s="480"/>
      <c r="N218" s="480"/>
      <c r="O218" s="480"/>
      <c r="P218" s="480"/>
      <c r="Q218" s="480"/>
      <c r="R218" s="480"/>
      <c r="S218" s="480"/>
      <c r="T218" s="480"/>
      <c r="U218" s="480"/>
      <c r="V218" s="480"/>
      <c r="W218" s="480"/>
      <c r="X218" s="481"/>
      <c r="Y218" s="481"/>
    </row>
    <row r="219" spans="1:26" customHeight="1" ht="15.95" s="408" customFormat="1">
      <c r="A219" s="473" t="s">
        <v>160</v>
      </c>
      <c r="B219" s="33"/>
      <c r="C219" s="33"/>
      <c r="D219" s="33"/>
      <c r="E219" s="33"/>
      <c r="F219" s="33"/>
      <c r="G219" s="208"/>
      <c r="H219" s="483">
        <f>H218+H199+H177+H157+H143+H125+H107+H89+H71+H53</f>
        <v>126995750.64</v>
      </c>
      <c r="I219" s="483">
        <f>I218+I199+I177+I157+I143+I125+I107+I89+I71+I53</f>
        <v>38725933.28</v>
      </c>
      <c r="J219" s="483">
        <f>J218+J199+J177+J157+J143+J125+J107+J89+J71+J53</f>
        <v>54903316.72</v>
      </c>
      <c r="K219" s="483">
        <f>K218+K199+K177+K157+K143+K125+K107+K89+K71+K53</f>
        <v>93629250</v>
      </c>
      <c r="L219" s="484">
        <f>L218+L199+L177+L157+L143+L125+L107+L89+L71+L53</f>
        <v>77979250</v>
      </c>
      <c r="M219" s="406"/>
      <c r="N219" s="406"/>
      <c r="O219" s="406"/>
      <c r="P219" s="406"/>
      <c r="Q219" s="406"/>
      <c r="R219" s="406"/>
      <c r="S219" s="406"/>
      <c r="T219" s="406"/>
      <c r="U219" s="406"/>
      <c r="V219" s="406"/>
      <c r="W219" s="406"/>
      <c r="X219" s="407"/>
      <c r="Y219" s="407"/>
    </row>
    <row r="220" spans="1:26" customHeight="1" ht="15.95" s="492" customFormat="1">
      <c r="A220" s="485" t="s">
        <v>247</v>
      </c>
      <c r="B220" s="486"/>
      <c r="C220" s="486"/>
      <c r="D220" s="486"/>
      <c r="E220" s="486"/>
      <c r="F220" s="486"/>
      <c r="G220" s="487"/>
      <c r="H220" s="488">
        <f>+H219+H34</f>
        <v>161979711.19</v>
      </c>
      <c r="I220" s="488">
        <f>+I219+I34</f>
        <v>55647681.81</v>
      </c>
      <c r="J220" s="488">
        <f>+J219+J34</f>
        <v>75615545.58</v>
      </c>
      <c r="K220" s="488">
        <f>+K219+K34</f>
        <v>131263227.39</v>
      </c>
      <c r="L220" s="489">
        <f>+L219+L34</f>
        <v>116673484.55</v>
      </c>
      <c r="M220" s="490"/>
      <c r="N220" s="490"/>
      <c r="O220" s="490"/>
      <c r="P220" s="490"/>
      <c r="Q220" s="490"/>
      <c r="R220" s="490"/>
      <c r="S220" s="490"/>
      <c r="T220" s="490"/>
      <c r="U220" s="490"/>
      <c r="V220" s="490"/>
      <c r="W220" s="490"/>
      <c r="X220" s="491"/>
      <c r="Y220" s="491"/>
    </row>
    <row r="221" spans="1:26" customHeight="1" ht="15.95" s="408" customFormat="1">
      <c r="A221" s="493" t="s">
        <v>162</v>
      </c>
      <c r="B221" s="494"/>
      <c r="C221" s="494"/>
      <c r="D221" s="494"/>
      <c r="E221" s="494"/>
      <c r="F221" s="494"/>
      <c r="G221" s="495"/>
      <c r="H221" s="413"/>
      <c r="I221" s="441"/>
      <c r="J221" s="441"/>
      <c r="K221" s="404"/>
      <c r="L221" s="405"/>
      <c r="M221" s="406"/>
      <c r="N221" s="406"/>
      <c r="O221" s="406"/>
      <c r="P221" s="406"/>
      <c r="Q221" s="406"/>
      <c r="R221" s="406"/>
      <c r="S221" s="406"/>
      <c r="T221" s="406"/>
      <c r="U221" s="406"/>
      <c r="V221" s="406"/>
      <c r="W221" s="406"/>
      <c r="X221" s="407"/>
      <c r="Y221" s="407"/>
    </row>
    <row r="222" spans="1:26" customHeight="1" ht="15.95" s="408" customFormat="1">
      <c r="B222" s="33" t="s">
        <v>163</v>
      </c>
      <c r="C222" s="33"/>
      <c r="D222" s="402"/>
      <c r="E222" s="402"/>
      <c r="F222" s="494"/>
      <c r="G222" s="208" t="s">
        <v>164</v>
      </c>
      <c r="H222" s="413">
        <v>220450</v>
      </c>
      <c r="I222" s="441">
        <v>298000</v>
      </c>
      <c r="J222" s="413">
        <f>K222-I222</f>
        <v>102000</v>
      </c>
      <c r="K222" s="404">
        <v>400000</v>
      </c>
      <c r="L222" s="405">
        <f>F223</f>
        <v>200000</v>
      </c>
      <c r="M222" s="406"/>
      <c r="N222" s="406"/>
      <c r="O222" s="406"/>
      <c r="P222" s="406"/>
      <c r="Q222" s="406"/>
      <c r="R222" s="406"/>
      <c r="S222" s="406"/>
      <c r="T222" s="406"/>
      <c r="U222" s="406"/>
      <c r="V222" s="406"/>
      <c r="W222" s="406"/>
      <c r="X222" s="407"/>
      <c r="Y222" s="407"/>
    </row>
    <row r="223" spans="1:26" customHeight="1" ht="15.95" s="408" customFormat="1">
      <c r="B223" s="33"/>
      <c r="C223" s="39" t="s">
        <v>218</v>
      </c>
      <c r="D223" s="402"/>
      <c r="E223" s="402"/>
      <c r="F223" s="442">
        <v>200000</v>
      </c>
      <c r="G223" s="208"/>
      <c r="H223" s="413"/>
      <c r="I223" s="441"/>
      <c r="J223" s="441"/>
      <c r="K223" s="404"/>
      <c r="L223" s="405"/>
      <c r="M223" s="406"/>
      <c r="N223" s="406"/>
      <c r="O223" s="406"/>
      <c r="P223" s="406"/>
      <c r="Q223" s="406"/>
      <c r="R223" s="406"/>
      <c r="S223" s="406"/>
      <c r="T223" s="406"/>
      <c r="U223" s="406"/>
      <c r="V223" s="406"/>
      <c r="W223" s="406"/>
      <c r="X223" s="407"/>
      <c r="Y223" s="407"/>
    </row>
    <row r="224" spans="1:26" customHeight="1" ht="15.95" s="408" customFormat="1">
      <c r="B224" s="33" t="s">
        <v>248</v>
      </c>
      <c r="C224" s="33"/>
      <c r="D224" s="402"/>
      <c r="E224" s="402"/>
      <c r="F224" s="160"/>
      <c r="G224" s="208" t="s">
        <v>167</v>
      </c>
      <c r="H224" s="413">
        <v>155950</v>
      </c>
      <c r="I224" s="441">
        <v>59400</v>
      </c>
      <c r="J224" s="413">
        <f>K224-I224</f>
        <v>120600</v>
      </c>
      <c r="K224" s="404">
        <v>180000</v>
      </c>
      <c r="L224" s="405">
        <f>F225</f>
        <v>150000</v>
      </c>
      <c r="M224" s="406"/>
      <c r="N224" s="406"/>
      <c r="O224" s="406"/>
      <c r="P224" s="406"/>
      <c r="Q224" s="406"/>
      <c r="R224" s="406"/>
      <c r="S224" s="406"/>
      <c r="T224" s="406"/>
      <c r="U224" s="406"/>
      <c r="V224" s="406"/>
      <c r="W224" s="406"/>
      <c r="X224" s="407"/>
      <c r="Y224" s="407"/>
    </row>
    <row r="225" spans="1:26" customHeight="1" ht="15.95" s="408" customFormat="1">
      <c r="B225" s="33"/>
      <c r="C225" s="39" t="s">
        <v>218</v>
      </c>
      <c r="D225" s="402"/>
      <c r="E225" s="402"/>
      <c r="F225" s="442">
        <v>150000</v>
      </c>
      <c r="G225" s="208"/>
      <c r="H225" s="413"/>
      <c r="I225" s="441"/>
      <c r="J225" s="441"/>
      <c r="K225" s="404"/>
      <c r="L225" s="405"/>
      <c r="M225" s="406"/>
      <c r="N225" s="406"/>
      <c r="O225" s="406"/>
      <c r="P225" s="406"/>
      <c r="Q225" s="406"/>
      <c r="R225" s="406"/>
      <c r="S225" s="406"/>
      <c r="T225" s="406"/>
      <c r="U225" s="406"/>
      <c r="V225" s="406"/>
      <c r="W225" s="406"/>
      <c r="X225" s="407"/>
      <c r="Y225" s="407"/>
    </row>
    <row r="226" spans="1:26" customHeight="1" ht="15.95" s="408" customFormat="1">
      <c r="B226" s="33" t="s">
        <v>249</v>
      </c>
      <c r="C226" s="33"/>
      <c r="D226" s="402"/>
      <c r="E226" s="402"/>
      <c r="F226" s="160"/>
      <c r="G226" s="208" t="s">
        <v>250</v>
      </c>
      <c r="H226" s="413">
        <v>0</v>
      </c>
      <c r="I226" s="441">
        <v>0</v>
      </c>
      <c r="J226" s="413">
        <f>K226-I226</f>
        <v>1500000</v>
      </c>
      <c r="K226" s="404">
        <v>1500000</v>
      </c>
      <c r="L226" s="405">
        <v>0</v>
      </c>
      <c r="M226" s="406"/>
      <c r="N226" s="406"/>
      <c r="O226" s="406"/>
      <c r="P226" s="406"/>
      <c r="Q226" s="406"/>
      <c r="R226" s="406"/>
      <c r="S226" s="406"/>
      <c r="T226" s="406"/>
      <c r="U226" s="406"/>
      <c r="V226" s="406"/>
      <c r="W226" s="406"/>
      <c r="X226" s="407"/>
      <c r="Y226" s="407"/>
    </row>
    <row r="227" spans="1:26" customHeight="1" ht="15.95" s="408" customFormat="1">
      <c r="B227" s="39" t="s">
        <v>251</v>
      </c>
      <c r="C227" s="33"/>
      <c r="D227" s="402"/>
      <c r="E227" s="402"/>
      <c r="F227" s="160"/>
      <c r="G227" s="208"/>
      <c r="H227" s="413"/>
      <c r="I227" s="441"/>
      <c r="J227" s="441"/>
      <c r="K227" s="404"/>
      <c r="L227" s="405"/>
      <c r="M227" s="406"/>
      <c r="N227" s="406"/>
      <c r="O227" s="406"/>
      <c r="P227" s="406"/>
      <c r="Q227" s="406"/>
      <c r="R227" s="406"/>
      <c r="S227" s="406"/>
      <c r="T227" s="406"/>
      <c r="U227" s="406"/>
      <c r="V227" s="406"/>
      <c r="W227" s="406"/>
      <c r="X227" s="407"/>
      <c r="Y227" s="407"/>
    </row>
    <row r="228" spans="1:26" customHeight="1" ht="15.95" s="408" customFormat="1">
      <c r="B228" s="33" t="s">
        <v>210</v>
      </c>
      <c r="C228" s="33"/>
      <c r="D228" s="402"/>
      <c r="E228" s="402"/>
      <c r="F228" s="160"/>
      <c r="G228" s="208" t="s">
        <v>171</v>
      </c>
      <c r="H228" s="464">
        <v>30000</v>
      </c>
      <c r="I228" s="444">
        <v>0</v>
      </c>
      <c r="J228" s="444">
        <v>0</v>
      </c>
      <c r="K228" s="416">
        <v>0</v>
      </c>
      <c r="L228" s="417">
        <v>0</v>
      </c>
      <c r="M228" s="406"/>
      <c r="N228" s="406"/>
      <c r="O228" s="406"/>
      <c r="P228" s="406"/>
      <c r="Q228" s="406"/>
      <c r="R228" s="406"/>
      <c r="S228" s="406"/>
      <c r="T228" s="406"/>
      <c r="U228" s="406"/>
      <c r="V228" s="406"/>
      <c r="W228" s="406"/>
      <c r="X228" s="407"/>
      <c r="Y228" s="407"/>
    </row>
    <row r="229" spans="1:26" customHeight="1" ht="15.95" s="492" customFormat="1">
      <c r="A229" s="496" t="s">
        <v>172</v>
      </c>
      <c r="B229" s="419"/>
      <c r="C229" s="419"/>
      <c r="D229" s="419"/>
      <c r="E229" s="419"/>
      <c r="F229" s="419"/>
      <c r="G229" s="497"/>
      <c r="H229" s="498">
        <f>SUM(H222:H228)</f>
        <v>406400</v>
      </c>
      <c r="I229" s="498">
        <f>SUM(I222:I228)</f>
        <v>357400</v>
      </c>
      <c r="J229" s="498">
        <f>SUM(J222:J228)</f>
        <v>1722600</v>
      </c>
      <c r="K229" s="498">
        <f>SUM(K222:K228)</f>
        <v>2080000</v>
      </c>
      <c r="L229" s="499">
        <f>SUM(L222:L228)</f>
        <v>350000</v>
      </c>
      <c r="M229" s="490"/>
      <c r="N229" s="490"/>
      <c r="O229" s="490"/>
      <c r="P229" s="490"/>
      <c r="Q229" s="490"/>
      <c r="R229" s="490"/>
      <c r="S229" s="490"/>
      <c r="T229" s="490"/>
      <c r="U229" s="490"/>
      <c r="V229" s="490"/>
      <c r="W229" s="490"/>
      <c r="X229" s="491"/>
      <c r="Y229" s="491"/>
    </row>
    <row r="230" spans="1:26" customHeight="1" ht="15.95" s="492" customFormat="1">
      <c r="A230" s="500"/>
      <c r="B230" s="501"/>
      <c r="C230" s="501"/>
      <c r="D230" s="501"/>
      <c r="E230" s="501"/>
      <c r="F230" s="501"/>
      <c r="G230" s="497"/>
      <c r="H230" s="502"/>
      <c r="I230" s="502"/>
      <c r="J230" s="502"/>
      <c r="K230" s="502"/>
      <c r="L230" s="503"/>
      <c r="M230" s="490"/>
      <c r="N230" s="490"/>
      <c r="O230" s="490"/>
      <c r="P230" s="490"/>
      <c r="Q230" s="490"/>
      <c r="R230" s="490"/>
      <c r="S230" s="490"/>
      <c r="T230" s="490"/>
      <c r="U230" s="490"/>
      <c r="V230" s="490"/>
      <c r="W230" s="490"/>
      <c r="X230" s="491"/>
      <c r="Y230" s="491"/>
    </row>
    <row r="231" spans="1:26" customHeight="1" ht="15.95" s="157" customFormat="1">
      <c r="A231" s="485" t="s">
        <v>252</v>
      </c>
      <c r="B231" s="485"/>
      <c r="C231" s="485"/>
      <c r="D231" s="485"/>
      <c r="E231" s="485"/>
      <c r="F231" s="485"/>
      <c r="G231" s="427"/>
      <c r="H231" s="504">
        <f>+H229+H220</f>
        <v>162386111.19</v>
      </c>
      <c r="I231" s="504">
        <f>+I229+I220</f>
        <v>56005081.81</v>
      </c>
      <c r="J231" s="504">
        <f>+J229+J220</f>
        <v>77338145.58</v>
      </c>
      <c r="K231" s="504">
        <f>+K229+K220</f>
        <v>133343227.39</v>
      </c>
      <c r="L231" s="505">
        <f>+L229+L220</f>
        <v>117023484.55</v>
      </c>
      <c r="M231" s="506">
        <f>L231-L34</f>
        <v>78329250</v>
      </c>
      <c r="N231" s="507"/>
      <c r="O231" s="507"/>
      <c r="P231" s="423"/>
      <c r="Q231" s="423"/>
      <c r="R231" s="423"/>
      <c r="S231" s="423"/>
      <c r="T231" s="423"/>
      <c r="U231" s="423"/>
      <c r="V231" s="423"/>
      <c r="W231" s="423"/>
      <c r="X231" s="424"/>
      <c r="Y231" s="424"/>
    </row>
    <row r="232" spans="1:26" customHeight="1" ht="18" s="273" customFormat="1">
      <c r="A232" s="6"/>
      <c r="B232" s="6"/>
      <c r="G232" s="508"/>
      <c r="H232" s="508"/>
      <c r="L232" s="273"/>
    </row>
    <row r="233" spans="1:26" customHeight="1" ht="18" s="9" customFormat="1">
      <c r="A233" s="9" t="s">
        <v>182</v>
      </c>
      <c r="I233" s="509"/>
      <c r="J233" s="509"/>
      <c r="K233" s="509"/>
      <c r="L233" s="509"/>
    </row>
    <row r="234" spans="1:26" customHeight="1" ht="18" s="9" customFormat="1">
      <c r="G234" s="510"/>
      <c r="H234" s="510"/>
      <c r="I234" s="510"/>
      <c r="J234" s="510"/>
      <c r="K234" s="510"/>
      <c r="L234" s="510"/>
    </row>
    <row r="235" spans="1:26" customHeight="1" ht="18" s="9" customFormat="1">
      <c r="A235" s="1493" t="s">
        <v>183</v>
      </c>
      <c r="B235" s="1493"/>
      <c r="C235" s="1493"/>
      <c r="D235" s="511"/>
      <c r="E235" s="511"/>
      <c r="F235" s="512" t="s">
        <v>184</v>
      </c>
      <c r="G235" s="509"/>
      <c r="H235" s="509"/>
      <c r="I235" s="509"/>
      <c r="J235" s="510" t="s">
        <v>185</v>
      </c>
      <c r="K235" s="1494"/>
      <c r="L235" s="1494"/>
    </row>
    <row r="236" spans="1:26" customHeight="1" ht="18" s="9" customFormat="1"/>
    <row r="237" spans="1:26" customHeight="1" ht="18" s="9" customFormat="1"/>
    <row r="238" spans="1:26" customHeight="1" ht="18" s="11" customFormat="1">
      <c r="A238" s="1489" t="s">
        <v>253</v>
      </c>
      <c r="B238" s="1489"/>
      <c r="C238" s="1489"/>
      <c r="D238" s="1489"/>
      <c r="E238" s="1489"/>
      <c r="F238" s="1489" t="s">
        <v>187</v>
      </c>
      <c r="G238" s="1489"/>
      <c r="H238" s="1489"/>
      <c r="I238" s="1489"/>
      <c r="J238" s="1489" t="s">
        <v>186</v>
      </c>
      <c r="K238" s="1489"/>
      <c r="L238" s="1489"/>
    </row>
    <row r="239" spans="1:26" customHeight="1" ht="12" s="11" customFormat="1">
      <c r="A239" s="1468" t="s">
        <v>254</v>
      </c>
      <c r="B239" s="1468"/>
      <c r="C239" s="1468"/>
      <c r="D239" s="1468"/>
      <c r="E239" s="1468"/>
      <c r="F239" s="1468" t="s">
        <v>189</v>
      </c>
      <c r="G239" s="1468"/>
      <c r="H239" s="1468"/>
      <c r="I239" s="1468"/>
      <c r="J239" s="1468" t="s">
        <v>188</v>
      </c>
      <c r="K239" s="1468"/>
      <c r="L239" s="1468"/>
    </row>
    <row r="240" spans="1:26" customHeight="1" ht="12" s="9" customFormat="1">
      <c r="A240" s="1468"/>
      <c r="B240" s="1468"/>
      <c r="C240" s="1468"/>
      <c r="D240" s="1468"/>
      <c r="E240" s="1468"/>
      <c r="F240" s="1468" t="s">
        <v>190</v>
      </c>
      <c r="G240" s="1468"/>
      <c r="H240" s="1468"/>
      <c r="I240" s="1468"/>
      <c r="J240" s="1468"/>
      <c r="K240" s="1468"/>
      <c r="L240" s="1468"/>
    </row>
    <row r="241" spans="1:26" customHeight="1" ht="15" s="9" customFormat="1">
      <c r="A241" s="7"/>
      <c r="B241" s="7"/>
      <c r="F241" s="7"/>
      <c r="G241" s="513"/>
      <c r="H241" s="514"/>
      <c r="I241" s="514"/>
      <c r="J241" s="514"/>
      <c r="L241" s="66"/>
      <c r="M241" s="515"/>
      <c r="P241" s="515"/>
      <c r="Q241" s="149"/>
      <c r="S241" s="516"/>
    </row>
    <row r="242" spans="1:26" customHeight="1" ht="15" s="520" customFormat="1">
      <c r="A242" s="517"/>
      <c r="B242" s="501"/>
      <c r="C242" s="501"/>
      <c r="D242" s="501"/>
      <c r="E242" s="501"/>
      <c r="F242" s="501"/>
      <c r="G242" s="501"/>
      <c r="H242" s="518"/>
      <c r="I242" s="518"/>
      <c r="J242" s="518"/>
      <c r="K242" s="518"/>
      <c r="L242" s="518"/>
      <c r="M242" s="490"/>
      <c r="N242" s="490"/>
      <c r="O242" s="490"/>
      <c r="P242" s="490"/>
      <c r="Q242" s="490"/>
      <c r="R242" s="490"/>
      <c r="S242" s="490"/>
      <c r="T242" s="490"/>
      <c r="U242" s="490"/>
      <c r="V242" s="490"/>
      <c r="W242" s="490"/>
      <c r="X242" s="519"/>
      <c r="Y242" s="519"/>
    </row>
    <row r="245" spans="1:26" customHeight="1" ht="20.1" s="22" customForma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L245" s="521"/>
      <c r="M245" s="406"/>
      <c r="N245" s="406"/>
      <c r="O245" s="406"/>
      <c r="P245" s="406"/>
      <c r="Q245" s="406"/>
      <c r="R245" s="406"/>
      <c r="S245" s="406"/>
      <c r="T245" s="406"/>
      <c r="U245" s="406"/>
      <c r="V245" s="406"/>
      <c r="W245" s="406"/>
      <c r="X245" s="522"/>
      <c r="Y245" s="522"/>
    </row>
    <row r="264" spans="1:26" customHeight="1" ht="12" s="33" customFormat="1">
      <c r="G264" s="451"/>
      <c r="K264" s="405"/>
      <c r="L264" s="405"/>
      <c r="M264" s="406"/>
      <c r="N264" s="406"/>
      <c r="O264" s="406"/>
      <c r="P264" s="406"/>
      <c r="Q264" s="406"/>
      <c r="R264" s="406"/>
      <c r="S264" s="406"/>
      <c r="T264" s="406"/>
      <c r="U264" s="406"/>
      <c r="V264" s="406"/>
      <c r="W264" s="406"/>
      <c r="X264" s="406"/>
      <c r="Y264" s="40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9:E239"/>
    <mergeCell ref="F239:I239"/>
    <mergeCell ref="J239:L239"/>
    <mergeCell ref="A240:E240"/>
    <mergeCell ref="F240:I240"/>
    <mergeCell ref="J240:L240"/>
    <mergeCell ref="A15:F15"/>
    <mergeCell ref="A235:C235"/>
    <mergeCell ref="K235:L235"/>
    <mergeCell ref="A238:E238"/>
    <mergeCell ref="F238:I238"/>
    <mergeCell ref="J238:L238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0"/>
  <sheetViews>
    <sheetView tabSelected="0" workbookViewId="0" showGridLines="false" showRowColHeaders="1">
      <selection activeCell="A6" sqref="A6:J6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2" customWidth="true" style="9"/>
    <col min="6" max="6" width="12.7109375" customWidth="true" style="529"/>
    <col min="7" max="7" width="12.7109375" customWidth="true" style="9"/>
    <col min="8" max="8" width="16.7109375" customWidth="true" style="11"/>
    <col min="9" max="9" width="16.7109375" customWidth="true" style="11"/>
    <col min="10" max="10" width="16.7109375" customWidth="true" style="11"/>
    <col min="11" max="11" width="16.7109375" customWidth="true" style="11"/>
    <col min="12" max="12" width="16.7109375" customWidth="true" style="598"/>
    <col min="13" max="13" width="14.42578125" customWidth="true" style="529"/>
    <col min="14" max="14" width="11.5703125" customWidth="true" style="553"/>
  </cols>
  <sheetData>
    <row r="1" spans="1:14" customHeight="1" ht="9.95" s="173" customFormat="1">
      <c r="A1" s="173" t="s">
        <v>0</v>
      </c>
      <c r="J1" s="174"/>
      <c r="L1" s="175"/>
    </row>
    <row r="2" spans="1:14" customHeight="1" ht="9.95" s="173" customFormat="1">
      <c r="A2" s="173" t="s">
        <v>1</v>
      </c>
      <c r="J2" s="174"/>
      <c r="L2" s="175"/>
    </row>
    <row r="3" spans="1:14" customHeight="1" ht="9.95" s="173" customFormat="1">
      <c r="A3" s="173" t="s">
        <v>2</v>
      </c>
      <c r="J3" s="174"/>
      <c r="L3" s="175"/>
    </row>
    <row r="4" spans="1:14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4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4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4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4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255</v>
      </c>
    </row>
    <row r="9" spans="1:14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14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4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4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4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4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4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4" customHeight="1" ht="17.1" s="531" customFormat="1">
      <c r="A16" s="15" t="s">
        <v>24</v>
      </c>
      <c r="B16" s="15"/>
      <c r="C16" s="15"/>
      <c r="D16" s="15"/>
      <c r="E16" s="15"/>
      <c r="F16" s="525"/>
      <c r="G16" s="526"/>
      <c r="H16" s="527"/>
      <c r="I16" s="527"/>
      <c r="J16" s="527"/>
      <c r="K16" s="527"/>
      <c r="L16" s="528"/>
      <c r="M16" s="529"/>
      <c r="N16" s="530"/>
    </row>
    <row r="17" spans="1:14" customHeight="1" ht="17.1" s="531" customFormat="1">
      <c r="A17" s="58" t="s">
        <v>25</v>
      </c>
      <c r="B17" s="58"/>
      <c r="C17" s="15"/>
      <c r="D17" s="15"/>
      <c r="E17" s="15"/>
      <c r="F17" s="525"/>
      <c r="G17" s="532"/>
      <c r="H17" s="527"/>
      <c r="I17" s="527"/>
      <c r="J17" s="527"/>
      <c r="K17" s="527"/>
      <c r="L17" s="528"/>
      <c r="M17" s="529"/>
      <c r="N17" s="530"/>
    </row>
    <row r="18" spans="1:14" customHeight="1" ht="17.1" s="2" customFormat="1">
      <c r="C18" s="9" t="s">
        <v>26</v>
      </c>
      <c r="D18" s="9"/>
      <c r="E18" s="9"/>
      <c r="F18" s="533"/>
      <c r="G18" s="213" t="s">
        <v>27</v>
      </c>
      <c r="H18" s="534">
        <v>10249592.59</v>
      </c>
      <c r="I18" s="534">
        <v>7629291.46</v>
      </c>
      <c r="J18" s="534">
        <f>K18-I18</f>
        <v>10903844.54</v>
      </c>
      <c r="K18" s="534">
        <v>18533136</v>
      </c>
      <c r="L18" s="535">
        <v>19064964</v>
      </c>
      <c r="M18" s="529"/>
      <c r="N18" s="536"/>
    </row>
    <row r="19" spans="1:14" customHeight="1" ht="17.1" s="2" customFormat="1">
      <c r="C19" s="9" t="s">
        <v>28</v>
      </c>
      <c r="D19" s="9"/>
      <c r="E19" s="9"/>
      <c r="F19" s="533"/>
      <c r="G19" s="213" t="s">
        <v>29</v>
      </c>
      <c r="H19" s="537">
        <v>790818.18</v>
      </c>
      <c r="I19" s="537">
        <v>671272.71</v>
      </c>
      <c r="J19" s="537">
        <f>K19-I19</f>
        <v>864727.29</v>
      </c>
      <c r="K19" s="537">
        <v>1536000</v>
      </c>
      <c r="L19" s="538">
        <v>1536000</v>
      </c>
      <c r="M19" s="529"/>
      <c r="N19" s="536"/>
    </row>
    <row r="20" spans="1:14" customHeight="1" ht="17.1" s="2" customFormat="1">
      <c r="C20" s="9" t="s">
        <v>30</v>
      </c>
      <c r="D20" s="9"/>
      <c r="E20" s="9"/>
      <c r="F20" s="533"/>
      <c r="G20" s="213" t="s">
        <v>31</v>
      </c>
      <c r="H20" s="537">
        <v>128250</v>
      </c>
      <c r="I20" s="537">
        <v>67500</v>
      </c>
      <c r="J20" s="537">
        <f>K20-I20</f>
        <v>67500</v>
      </c>
      <c r="K20" s="537">
        <v>135000</v>
      </c>
      <c r="L20" s="538">
        <v>135000</v>
      </c>
      <c r="M20" s="529"/>
      <c r="N20" s="536"/>
    </row>
    <row r="21" spans="1:14" customHeight="1" ht="17.1" s="2" customFormat="1">
      <c r="C21" s="9" t="s">
        <v>32</v>
      </c>
      <c r="D21" s="9"/>
      <c r="E21" s="9"/>
      <c r="F21" s="533"/>
      <c r="G21" s="213" t="s">
        <v>33</v>
      </c>
      <c r="H21" s="537">
        <v>128250</v>
      </c>
      <c r="I21" s="537">
        <v>67500</v>
      </c>
      <c r="J21" s="537">
        <f>K21-I21</f>
        <v>67500</v>
      </c>
      <c r="K21" s="537">
        <v>135000</v>
      </c>
      <c r="L21" s="538">
        <v>135000</v>
      </c>
      <c r="M21" s="529"/>
      <c r="N21" s="536"/>
    </row>
    <row r="22" spans="1:14" customHeight="1" ht="17.1" s="2" customFormat="1">
      <c r="C22" s="9" t="s">
        <v>34</v>
      </c>
      <c r="D22" s="9"/>
      <c r="E22" s="9"/>
      <c r="F22" s="533"/>
      <c r="G22" s="213" t="s">
        <v>35</v>
      </c>
      <c r="H22" s="537">
        <v>204000</v>
      </c>
      <c r="I22" s="537">
        <v>312000</v>
      </c>
      <c r="J22" s="537">
        <f>K22-I22</f>
        <v>72000</v>
      </c>
      <c r="K22" s="537">
        <v>384000</v>
      </c>
      <c r="L22" s="538">
        <v>384000</v>
      </c>
      <c r="M22" s="529"/>
      <c r="N22" s="536"/>
    </row>
    <row r="23" spans="1:14" customHeight="1" ht="17.1" s="2" customFormat="1">
      <c r="C23" s="9" t="s">
        <v>36</v>
      </c>
      <c r="D23" s="9"/>
      <c r="E23" s="9"/>
      <c r="F23" s="533"/>
      <c r="G23" s="213" t="s">
        <v>37</v>
      </c>
      <c r="H23" s="537">
        <v>374817.64</v>
      </c>
      <c r="I23" s="537">
        <v>164329.9</v>
      </c>
      <c r="J23" s="537">
        <f>K23-I23</f>
        <v>835670.1</v>
      </c>
      <c r="K23" s="537">
        <v>1000000</v>
      </c>
      <c r="L23" s="538">
        <v>1000000</v>
      </c>
      <c r="M23" s="529"/>
      <c r="N23" s="536"/>
    </row>
    <row r="24" spans="1:14" customHeight="1" ht="17.1" s="2" customFormat="1">
      <c r="C24" s="9" t="s">
        <v>38</v>
      </c>
      <c r="D24" s="9"/>
      <c r="E24" s="9"/>
      <c r="F24" s="533"/>
      <c r="G24" s="213" t="s">
        <v>39</v>
      </c>
      <c r="H24" s="537">
        <v>848765</v>
      </c>
      <c r="I24" s="537">
        <v>0</v>
      </c>
      <c r="J24" s="537">
        <f>K24-I24</f>
        <v>1544428</v>
      </c>
      <c r="K24" s="537">
        <v>1544428</v>
      </c>
      <c r="L24" s="538">
        <v>1588747</v>
      </c>
      <c r="M24" s="529"/>
      <c r="N24" s="536"/>
    </row>
    <row r="25" spans="1:14" customHeight="1" ht="17.1" s="2" customFormat="1">
      <c r="C25" s="9" t="s">
        <v>40</v>
      </c>
      <c r="D25" s="9"/>
      <c r="E25" s="9"/>
      <c r="F25" s="533"/>
      <c r="G25" s="213" t="s">
        <v>41</v>
      </c>
      <c r="H25" s="537">
        <v>159750</v>
      </c>
      <c r="I25" s="537">
        <v>0</v>
      </c>
      <c r="J25" s="537">
        <f>K25-I25</f>
        <v>320000</v>
      </c>
      <c r="K25" s="537">
        <v>320000</v>
      </c>
      <c r="L25" s="538">
        <v>320000</v>
      </c>
      <c r="M25" s="529"/>
      <c r="N25" s="536"/>
    </row>
    <row r="26" spans="1:14" customHeight="1" ht="17.1" s="2" customFormat="1">
      <c r="C26" s="9" t="s">
        <v>42</v>
      </c>
      <c r="D26" s="539"/>
      <c r="E26" s="539"/>
      <c r="F26" s="539"/>
      <c r="G26" s="213" t="s">
        <v>43</v>
      </c>
      <c r="H26" s="537">
        <v>1030375</v>
      </c>
      <c r="I26" s="537">
        <v>1223885</v>
      </c>
      <c r="J26" s="537">
        <f>K26-I26</f>
        <v>640543</v>
      </c>
      <c r="K26" s="537">
        <v>1864428</v>
      </c>
      <c r="L26" s="538">
        <f>SUM(F27:F28)</f>
        <v>1908747</v>
      </c>
      <c r="M26" s="529"/>
      <c r="N26" s="536"/>
    </row>
    <row r="27" spans="1:14" customHeight="1" ht="17.1" s="2" customFormat="1">
      <c r="C27" s="29" t="s">
        <v>44</v>
      </c>
      <c r="D27" s="539"/>
      <c r="E27" s="539"/>
      <c r="F27" s="509">
        <f>L24</f>
        <v>1588747</v>
      </c>
      <c r="G27" s="213"/>
      <c r="H27" s="537"/>
      <c r="I27" s="537"/>
      <c r="J27" s="537"/>
      <c r="K27" s="537"/>
      <c r="L27" s="538"/>
      <c r="M27" s="529"/>
      <c r="N27" s="536"/>
    </row>
    <row r="28" spans="1:14" customHeight="1" ht="17.1" s="2" customFormat="1">
      <c r="C28" s="29" t="s">
        <v>45</v>
      </c>
      <c r="D28" s="539"/>
      <c r="E28" s="539"/>
      <c r="F28" s="540">
        <f>L25</f>
        <v>320000</v>
      </c>
      <c r="G28" s="213"/>
      <c r="H28" s="537"/>
      <c r="I28" s="537"/>
      <c r="J28" s="537"/>
      <c r="K28" s="537"/>
      <c r="L28" s="538"/>
      <c r="M28" s="529"/>
      <c r="N28" s="536"/>
    </row>
    <row r="29" spans="1:14" customHeight="1" ht="17.1" s="2" customFormat="1">
      <c r="C29" s="9" t="s">
        <v>46</v>
      </c>
      <c r="D29" s="9"/>
      <c r="E29" s="9"/>
      <c r="F29" s="533"/>
      <c r="G29" s="213" t="s">
        <v>47</v>
      </c>
      <c r="H29" s="537">
        <v>1230140.38</v>
      </c>
      <c r="I29" s="537">
        <v>915175.44</v>
      </c>
      <c r="J29" s="537">
        <f>K29-I29</f>
        <v>1308800.88</v>
      </c>
      <c r="K29" s="537">
        <v>2223976.32</v>
      </c>
      <c r="L29" s="538">
        <v>2287795.68</v>
      </c>
      <c r="M29" s="529"/>
      <c r="N29" s="536"/>
    </row>
    <row r="30" spans="1:14" customHeight="1" ht="17.1" s="2" customFormat="1">
      <c r="C30" s="9" t="s">
        <v>48</v>
      </c>
      <c r="D30" s="9"/>
      <c r="E30" s="9"/>
      <c r="F30" s="533"/>
      <c r="G30" s="213" t="s">
        <v>49</v>
      </c>
      <c r="H30" s="537">
        <v>39600</v>
      </c>
      <c r="I30" s="537">
        <v>32000</v>
      </c>
      <c r="J30" s="537">
        <f>K30-I30</f>
        <v>44800</v>
      </c>
      <c r="K30" s="537">
        <v>76800</v>
      </c>
      <c r="L30" s="538">
        <v>76800</v>
      </c>
      <c r="M30" s="529"/>
      <c r="N30" s="536"/>
    </row>
    <row r="31" spans="1:14" customHeight="1" ht="17.1" s="2" customFormat="1">
      <c r="C31" s="9" t="s">
        <v>50</v>
      </c>
      <c r="D31" s="9"/>
      <c r="E31" s="9"/>
      <c r="F31" s="533"/>
      <c r="G31" s="213" t="s">
        <v>51</v>
      </c>
      <c r="H31" s="537">
        <v>144882.06</v>
      </c>
      <c r="I31" s="537">
        <v>108936.33</v>
      </c>
      <c r="J31" s="537">
        <f>K31-I31</f>
        <v>259156.23</v>
      </c>
      <c r="K31" s="537">
        <v>368092.56</v>
      </c>
      <c r="L31" s="538">
        <v>428308.02</v>
      </c>
      <c r="M31" s="529"/>
      <c r="N31" s="536"/>
    </row>
    <row r="32" spans="1:14" customHeight="1" ht="17.1" s="2" customFormat="1">
      <c r="C32" s="9" t="s">
        <v>52</v>
      </c>
      <c r="D32" s="9"/>
      <c r="E32" s="9"/>
      <c r="F32" s="533"/>
      <c r="G32" s="213" t="s">
        <v>53</v>
      </c>
      <c r="H32" s="537">
        <v>39575.83</v>
      </c>
      <c r="I32" s="537">
        <v>33649.83</v>
      </c>
      <c r="J32" s="537">
        <f>K32-I32</f>
        <v>43150.17</v>
      </c>
      <c r="K32" s="537">
        <v>76800</v>
      </c>
      <c r="L32" s="538">
        <v>76800</v>
      </c>
      <c r="M32" s="529"/>
      <c r="N32" s="536"/>
    </row>
    <row r="33" spans="1:14" customHeight="1" ht="17.1" s="2" customFormat="1">
      <c r="C33" s="9" t="s">
        <v>58</v>
      </c>
      <c r="D33" s="9"/>
      <c r="E33" s="9"/>
      <c r="F33" s="533"/>
      <c r="G33" s="213" t="s">
        <v>59</v>
      </c>
      <c r="H33" s="541">
        <v>797500</v>
      </c>
      <c r="I33" s="541">
        <v>0</v>
      </c>
      <c r="J33" s="541">
        <v>0</v>
      </c>
      <c r="K33" s="541">
        <v>0</v>
      </c>
      <c r="L33" s="542">
        <v>0</v>
      </c>
      <c r="M33" s="529"/>
      <c r="N33" s="536"/>
    </row>
    <row r="34" spans="1:14" customHeight="1" ht="17.1" s="550" customFormat="1">
      <c r="A34" s="543" t="s">
        <v>256</v>
      </c>
      <c r="B34" s="543"/>
      <c r="C34" s="543"/>
      <c r="D34" s="543"/>
      <c r="E34" s="543"/>
      <c r="F34" s="544"/>
      <c r="G34" s="545"/>
      <c r="H34" s="546">
        <f>SUM(H18:H33)</f>
        <v>16166316.68</v>
      </c>
      <c r="I34" s="546">
        <f>SUM(I18:I33)</f>
        <v>11225540.67</v>
      </c>
      <c r="J34" s="546">
        <f>SUM(J18:J33)</f>
        <v>16972120.21</v>
      </c>
      <c r="K34" s="546">
        <f>SUM(K18:K33)</f>
        <v>28197660.88</v>
      </c>
      <c r="L34" s="547">
        <f>SUM(L18:L33)</f>
        <v>28942161.7</v>
      </c>
      <c r="M34" s="548"/>
      <c r="N34" s="549"/>
    </row>
    <row r="35" spans="1:14" customHeight="1" ht="15">
      <c r="A35" s="58" t="s">
        <v>257</v>
      </c>
      <c r="B35" s="58"/>
      <c r="C35" s="15"/>
      <c r="D35" s="15"/>
      <c r="E35" s="15"/>
      <c r="F35" s="525"/>
      <c r="G35" s="532"/>
      <c r="H35" s="551"/>
      <c r="I35" s="551"/>
      <c r="J35" s="551"/>
      <c r="K35" s="551"/>
      <c r="L35" s="552"/>
    </row>
    <row r="36" spans="1:14" customHeight="1" ht="15" s="2" customFormat="1">
      <c r="C36" s="9" t="s">
        <v>63</v>
      </c>
      <c r="D36" s="9"/>
      <c r="E36" s="9"/>
      <c r="F36" s="533"/>
      <c r="G36" s="238" t="s">
        <v>64</v>
      </c>
      <c r="H36" s="554">
        <v>104650</v>
      </c>
      <c r="I36" s="554">
        <v>105358</v>
      </c>
      <c r="J36" s="534">
        <f>K36-I36</f>
        <v>394642</v>
      </c>
      <c r="K36" s="554">
        <v>500000</v>
      </c>
      <c r="L36" s="555">
        <v>300000</v>
      </c>
      <c r="M36" s="529"/>
      <c r="N36" s="536"/>
    </row>
    <row r="37" spans="1:14" customHeight="1" ht="15" s="2" customFormat="1">
      <c r="C37" s="9" t="s">
        <v>72</v>
      </c>
      <c r="D37" s="9"/>
      <c r="E37" s="9"/>
      <c r="F37" s="533"/>
      <c r="G37" s="238" t="s">
        <v>73</v>
      </c>
      <c r="H37" s="537">
        <v>6300</v>
      </c>
      <c r="I37" s="537">
        <v>21000</v>
      </c>
      <c r="J37" s="537">
        <f>K37-I37</f>
        <v>179000</v>
      </c>
      <c r="K37" s="537">
        <v>200000</v>
      </c>
      <c r="L37" s="538">
        <v>120000</v>
      </c>
      <c r="M37" s="529"/>
      <c r="N37" s="536"/>
    </row>
    <row r="38" spans="1:14" customHeight="1" ht="15" s="2" customFormat="1">
      <c r="C38" s="9" t="s">
        <v>234</v>
      </c>
      <c r="D38" s="9"/>
      <c r="E38" s="9"/>
      <c r="F38" s="533"/>
      <c r="G38" s="238" t="s">
        <v>77</v>
      </c>
      <c r="H38" s="537">
        <v>542377.75</v>
      </c>
      <c r="I38" s="537">
        <f>107644+5000</f>
        <v>112644</v>
      </c>
      <c r="J38" s="537">
        <f>K38-I38</f>
        <v>627356</v>
      </c>
      <c r="K38" s="537">
        <f>680000+60000</f>
        <v>740000</v>
      </c>
      <c r="L38" s="538">
        <f>F39+F40</f>
        <v>410000</v>
      </c>
      <c r="M38" s="529"/>
      <c r="N38" s="536"/>
    </row>
    <row r="39" spans="1:14" customHeight="1" ht="15" s="2" customFormat="1">
      <c r="C39" s="29" t="s">
        <v>65</v>
      </c>
      <c r="D39" s="9"/>
      <c r="E39" s="9"/>
      <c r="F39" s="533">
        <v>350000</v>
      </c>
      <c r="G39" s="238"/>
      <c r="H39" s="537"/>
      <c r="I39" s="537"/>
      <c r="J39" s="537"/>
      <c r="K39" s="537"/>
      <c r="L39" s="538"/>
      <c r="M39" s="556"/>
      <c r="N39" s="536"/>
    </row>
    <row r="40" spans="1:14" customHeight="1" ht="15" s="2" customFormat="1">
      <c r="C40" s="29" t="s">
        <v>258</v>
      </c>
      <c r="D40" s="9"/>
      <c r="E40" s="9"/>
      <c r="F40" s="557">
        <v>60000</v>
      </c>
      <c r="G40" s="238"/>
      <c r="H40" s="537"/>
      <c r="I40" s="537"/>
      <c r="J40" s="537"/>
      <c r="K40" s="537"/>
      <c r="L40" s="538"/>
      <c r="M40" s="529"/>
      <c r="N40" s="536"/>
    </row>
    <row r="41" spans="1:14" customHeight="1" ht="15" s="2" customFormat="1">
      <c r="C41" s="9" t="s">
        <v>259</v>
      </c>
      <c r="D41" s="9"/>
      <c r="E41" s="9"/>
      <c r="F41" s="533"/>
      <c r="G41" s="238" t="s">
        <v>260</v>
      </c>
      <c r="H41" s="537">
        <v>2472410</v>
      </c>
      <c r="I41" s="537">
        <v>1052850</v>
      </c>
      <c r="J41" s="537">
        <f>K41-I41</f>
        <v>2947150</v>
      </c>
      <c r="K41" s="537">
        <v>4000000</v>
      </c>
      <c r="L41" s="538">
        <v>3000000</v>
      </c>
      <c r="M41" s="529"/>
      <c r="N41" s="536"/>
    </row>
    <row r="42" spans="1:14" customHeight="1" ht="15" s="2" customFormat="1">
      <c r="C42" s="9" t="s">
        <v>79</v>
      </c>
      <c r="D42" s="9"/>
      <c r="E42" s="9"/>
      <c r="F42" s="533"/>
      <c r="G42" s="238" t="s">
        <v>80</v>
      </c>
      <c r="H42" s="537">
        <v>181671</v>
      </c>
      <c r="I42" s="537">
        <v>274000</v>
      </c>
      <c r="J42" s="537">
        <f>K42-I42</f>
        <v>126000</v>
      </c>
      <c r="K42" s="537">
        <v>400000</v>
      </c>
      <c r="L42" s="538">
        <v>400000</v>
      </c>
      <c r="M42" s="529"/>
      <c r="N42" s="536"/>
    </row>
    <row r="43" spans="1:14" customHeight="1" ht="15" s="2" customFormat="1">
      <c r="C43" s="9" t="s">
        <v>261</v>
      </c>
      <c r="D43" s="9"/>
      <c r="E43" s="9"/>
      <c r="F43" s="533"/>
      <c r="G43" s="238" t="s">
        <v>77</v>
      </c>
      <c r="H43" s="537">
        <v>279581</v>
      </c>
      <c r="I43" s="537">
        <f>0+0</f>
        <v>0</v>
      </c>
      <c r="J43" s="537">
        <f>K43-I43</f>
        <v>340000</v>
      </c>
      <c r="K43" s="537">
        <f>250000+90000</f>
        <v>340000</v>
      </c>
      <c r="L43" s="538">
        <f>F44+F45</f>
        <v>300000</v>
      </c>
      <c r="M43" s="529"/>
      <c r="N43" s="536"/>
    </row>
    <row r="44" spans="1:14" customHeight="1" ht="15" s="2" customFormat="1">
      <c r="C44" s="29" t="s">
        <v>65</v>
      </c>
      <c r="D44" s="9"/>
      <c r="E44" s="9"/>
      <c r="F44" s="533">
        <v>200000</v>
      </c>
      <c r="G44" s="238"/>
      <c r="H44" s="537"/>
      <c r="I44" s="537"/>
      <c r="J44" s="537"/>
      <c r="K44" s="537"/>
      <c r="L44" s="538"/>
      <c r="M44" s="556"/>
      <c r="N44" s="536"/>
    </row>
    <row r="45" spans="1:14" customHeight="1" ht="15" s="2" customFormat="1">
      <c r="C45" s="29" t="s">
        <v>258</v>
      </c>
      <c r="D45" s="9"/>
      <c r="E45" s="9"/>
      <c r="F45" s="557">
        <v>100000</v>
      </c>
      <c r="G45" s="238"/>
      <c r="H45" s="537"/>
      <c r="I45" s="537"/>
      <c r="J45" s="537"/>
      <c r="K45" s="537"/>
      <c r="L45" s="538"/>
      <c r="M45" s="529"/>
      <c r="N45" s="536"/>
    </row>
    <row r="46" spans="1:14" customHeight="1" ht="15" s="2" customFormat="1">
      <c r="C46" s="9" t="s">
        <v>262</v>
      </c>
      <c r="D46" s="9"/>
      <c r="E46" s="9"/>
      <c r="F46" s="533"/>
      <c r="G46" s="238" t="s">
        <v>94</v>
      </c>
      <c r="H46" s="537">
        <v>2500</v>
      </c>
      <c r="I46" s="537">
        <v>5000</v>
      </c>
      <c r="J46" s="537">
        <f>K46-I46</f>
        <v>0</v>
      </c>
      <c r="K46" s="537">
        <v>5000</v>
      </c>
      <c r="L46" s="538">
        <v>5000</v>
      </c>
      <c r="M46" s="529"/>
      <c r="N46" s="536"/>
    </row>
    <row r="47" spans="1:14" customHeight="1" ht="15" s="2" customFormat="1">
      <c r="C47" s="9" t="s">
        <v>263</v>
      </c>
      <c r="D47" s="9"/>
      <c r="E47" s="9"/>
      <c r="F47" s="533"/>
      <c r="G47" s="238" t="s">
        <v>96</v>
      </c>
      <c r="H47" s="537">
        <v>149558.33</v>
      </c>
      <c r="I47" s="537">
        <f>29949.38+14118.59</f>
        <v>44067.97</v>
      </c>
      <c r="J47" s="537">
        <f>K47-I47</f>
        <v>134732.03</v>
      </c>
      <c r="K47" s="537">
        <f>150000+28800</f>
        <v>178800</v>
      </c>
      <c r="L47" s="538">
        <f>SUM(F48:F49)</f>
        <v>178800</v>
      </c>
      <c r="M47" s="529"/>
      <c r="N47" s="536"/>
    </row>
    <row r="48" spans="1:14" customHeight="1" ht="15" s="2" customFormat="1">
      <c r="C48" s="29" t="s">
        <v>65</v>
      </c>
      <c r="D48" s="9"/>
      <c r="E48" s="9"/>
      <c r="F48" s="533">
        <v>150000</v>
      </c>
      <c r="G48" s="238"/>
      <c r="H48" s="537"/>
      <c r="I48" s="537"/>
      <c r="J48" s="537"/>
      <c r="K48" s="537"/>
      <c r="L48" s="538"/>
      <c r="M48" s="556"/>
      <c r="N48" s="536"/>
    </row>
    <row r="49" spans="1:14" customHeight="1" ht="15" s="2" customFormat="1">
      <c r="C49" s="29" t="s">
        <v>258</v>
      </c>
      <c r="D49" s="9"/>
      <c r="E49" s="9"/>
      <c r="F49" s="557">
        <v>28800</v>
      </c>
      <c r="G49" s="238"/>
      <c r="H49" s="537"/>
      <c r="I49" s="537"/>
      <c r="J49" s="537"/>
      <c r="K49" s="537"/>
      <c r="L49" s="538"/>
      <c r="M49" s="529"/>
      <c r="N49" s="536"/>
    </row>
    <row r="50" spans="1:14" customHeight="1" ht="15" s="2" customFormat="1">
      <c r="C50" s="558" t="s">
        <v>99</v>
      </c>
      <c r="D50" s="558"/>
      <c r="E50" s="558"/>
      <c r="F50" s="509"/>
      <c r="G50" s="213" t="s">
        <v>100</v>
      </c>
      <c r="H50" s="537">
        <v>19100</v>
      </c>
      <c r="I50" s="537">
        <f>4600+0</f>
        <v>4600</v>
      </c>
      <c r="J50" s="537">
        <f>K50-I50</f>
        <v>95400</v>
      </c>
      <c r="K50" s="537">
        <f>80000+20000</f>
        <v>100000</v>
      </c>
      <c r="L50" s="538">
        <f>F51+F52</f>
        <v>80000</v>
      </c>
      <c r="M50" s="529"/>
      <c r="N50" s="536"/>
    </row>
    <row r="51" spans="1:14" customHeight="1" ht="15" s="2" customFormat="1">
      <c r="C51" s="29" t="s">
        <v>65</v>
      </c>
      <c r="D51" s="558"/>
      <c r="E51" s="558"/>
      <c r="F51" s="509">
        <v>60000</v>
      </c>
      <c r="G51" s="213"/>
      <c r="H51" s="537"/>
      <c r="I51" s="537"/>
      <c r="J51" s="537"/>
      <c r="K51" s="537"/>
      <c r="L51" s="538"/>
      <c r="M51" s="556"/>
      <c r="N51" s="536"/>
    </row>
    <row r="52" spans="1:14" customHeight="1" ht="15" s="2" customFormat="1">
      <c r="C52" s="29" t="s">
        <v>258</v>
      </c>
      <c r="D52" s="558"/>
      <c r="E52" s="558"/>
      <c r="F52" s="540">
        <v>20000</v>
      </c>
      <c r="G52" s="213"/>
      <c r="H52" s="537"/>
      <c r="I52" s="537"/>
      <c r="J52" s="537"/>
      <c r="K52" s="537"/>
      <c r="L52" s="538"/>
      <c r="M52" s="529"/>
      <c r="N52" s="536"/>
    </row>
    <row r="53" spans="1:14" customHeight="1" ht="15" s="2" customFormat="1">
      <c r="C53" s="33" t="s">
        <v>264</v>
      </c>
      <c r="D53" s="559"/>
      <c r="E53" s="33"/>
      <c r="F53" s="405"/>
      <c r="G53" s="238" t="s">
        <v>102</v>
      </c>
      <c r="H53" s="560">
        <v>234087.83</v>
      </c>
      <c r="I53" s="560">
        <v>102500</v>
      </c>
      <c r="J53" s="537">
        <f>K53-I53</f>
        <v>197500</v>
      </c>
      <c r="K53" s="560">
        <v>300000</v>
      </c>
      <c r="L53" s="561">
        <v>200000</v>
      </c>
      <c r="M53" s="529"/>
      <c r="N53" s="536"/>
    </row>
    <row r="54" spans="1:14" customHeight="1" ht="15" s="9" customFormat="1">
      <c r="A54" s="562"/>
      <c r="B54" s="562"/>
      <c r="C54" s="9" t="s">
        <v>265</v>
      </c>
      <c r="F54" s="533"/>
      <c r="G54" s="213" t="s">
        <v>123</v>
      </c>
      <c r="H54" s="563">
        <v>6666.24</v>
      </c>
      <c r="I54" s="563">
        <v>3398.12</v>
      </c>
      <c r="J54" s="541">
        <f>K54-I54</f>
        <v>26601.88</v>
      </c>
      <c r="K54" s="563">
        <v>30000</v>
      </c>
      <c r="L54" s="564">
        <v>30000</v>
      </c>
      <c r="M54" s="533"/>
      <c r="N54" s="533"/>
    </row>
    <row r="55" spans="1:14" customHeight="1" ht="15" s="550" customFormat="1">
      <c r="A55" s="6" t="s">
        <v>233</v>
      </c>
      <c r="B55" s="6"/>
      <c r="C55" s="565"/>
      <c r="D55" s="273"/>
      <c r="E55" s="273"/>
      <c r="F55" s="566"/>
      <c r="G55" s="243"/>
      <c r="H55" s="567">
        <f>SUM(H36:H54)</f>
        <v>3998902.15</v>
      </c>
      <c r="I55" s="567">
        <f>SUM(I36:I54)</f>
        <v>1725418.09</v>
      </c>
      <c r="J55" s="567">
        <f>SUM(J36:J54)</f>
        <v>5068381.91</v>
      </c>
      <c r="K55" s="567">
        <f>SUM(K36:K54)</f>
        <v>6793800</v>
      </c>
      <c r="L55" s="568">
        <f>SUM(L36:L54)</f>
        <v>5023800</v>
      </c>
      <c r="M55" s="548"/>
      <c r="N55" s="549"/>
    </row>
    <row r="56" spans="1:14" customHeight="1" ht="15" s="2" customFormat="1">
      <c r="A56" s="569"/>
      <c r="B56" s="569"/>
      <c r="C56" s="570"/>
      <c r="D56" s="73"/>
      <c r="E56" s="73"/>
      <c r="F56" s="571"/>
      <c r="G56" s="572"/>
      <c r="H56" s="573"/>
      <c r="I56" s="573"/>
      <c r="J56" s="573"/>
      <c r="K56" s="573"/>
      <c r="L56" s="574"/>
      <c r="M56" s="529"/>
      <c r="N56" s="536"/>
    </row>
    <row r="57" spans="1:14" customHeight="1" ht="17.1" s="2" customFormat="1">
      <c r="A57" s="58" t="s">
        <v>257</v>
      </c>
      <c r="C57" s="29"/>
      <c r="D57" s="9"/>
      <c r="E57" s="9"/>
      <c r="F57" s="557"/>
      <c r="G57" s="238"/>
      <c r="H57" s="537"/>
      <c r="I57" s="537"/>
      <c r="J57" s="537"/>
      <c r="K57" s="537"/>
      <c r="L57" s="538"/>
      <c r="M57" s="529"/>
      <c r="N57" s="536"/>
    </row>
    <row r="58" spans="1:14" customHeight="1" ht="17.1" s="2" customFormat="1">
      <c r="A58" s="9"/>
      <c r="B58" s="9"/>
      <c r="C58" s="9" t="s">
        <v>240</v>
      </c>
      <c r="D58" s="9"/>
      <c r="E58" s="9"/>
      <c r="F58" s="533"/>
      <c r="G58" s="238" t="s">
        <v>125</v>
      </c>
      <c r="H58" s="560">
        <v>100650</v>
      </c>
      <c r="I58" s="560">
        <v>114506.25</v>
      </c>
      <c r="J58" s="537">
        <f>K58-I58</f>
        <v>35493.75</v>
      </c>
      <c r="K58" s="560">
        <v>150000</v>
      </c>
      <c r="L58" s="561">
        <v>150000</v>
      </c>
      <c r="M58" s="529"/>
      <c r="N58" s="536"/>
    </row>
    <row r="59" spans="1:14" customHeight="1" ht="17.1" s="2" customFormat="1">
      <c r="C59" s="9" t="s">
        <v>266</v>
      </c>
      <c r="D59" s="9"/>
      <c r="E59" s="9"/>
      <c r="F59" s="533"/>
      <c r="G59" s="238" t="s">
        <v>130</v>
      </c>
      <c r="H59" s="560">
        <v>66000</v>
      </c>
      <c r="I59" s="560">
        <v>0</v>
      </c>
      <c r="J59" s="537">
        <f>K59-I59</f>
        <v>200000</v>
      </c>
      <c r="K59" s="560">
        <v>200000</v>
      </c>
      <c r="L59" s="561">
        <v>200000</v>
      </c>
      <c r="M59" s="529"/>
      <c r="N59" s="536"/>
    </row>
    <row r="60" spans="1:14" customHeight="1" ht="17.1" s="2" customFormat="1">
      <c r="C60" s="9" t="s">
        <v>267</v>
      </c>
      <c r="D60" s="9"/>
      <c r="E60" s="9"/>
      <c r="F60" s="533"/>
      <c r="G60" s="238" t="s">
        <v>242</v>
      </c>
      <c r="H60" s="537">
        <v>264000</v>
      </c>
      <c r="I60" s="537">
        <v>0</v>
      </c>
      <c r="J60" s="537">
        <f>K60-I60</f>
        <v>250000</v>
      </c>
      <c r="K60" s="537">
        <v>250000</v>
      </c>
      <c r="L60" s="538">
        <v>250000</v>
      </c>
      <c r="M60" s="529"/>
      <c r="N60" s="536"/>
    </row>
    <row r="61" spans="1:14" customHeight="1" ht="17.1" s="2" customFormat="1">
      <c r="C61" s="9" t="s">
        <v>268</v>
      </c>
      <c r="D61" s="9"/>
      <c r="E61" s="9"/>
      <c r="F61" s="533"/>
      <c r="G61" s="238" t="s">
        <v>135</v>
      </c>
      <c r="H61" s="537">
        <v>0</v>
      </c>
      <c r="I61" s="537">
        <v>19000</v>
      </c>
      <c r="J61" s="537">
        <f>K61-I61</f>
        <v>16000</v>
      </c>
      <c r="K61" s="537">
        <v>35000</v>
      </c>
      <c r="L61" s="538">
        <v>35000</v>
      </c>
      <c r="M61" s="529"/>
      <c r="N61" s="536"/>
    </row>
    <row r="62" spans="1:14" customHeight="1" ht="17.1" s="2" customFormat="1">
      <c r="A62" s="9"/>
      <c r="B62" s="9"/>
      <c r="C62" s="9" t="s">
        <v>142</v>
      </c>
      <c r="D62" s="9"/>
      <c r="E62" s="9"/>
      <c r="F62" s="533"/>
      <c r="G62" s="238" t="s">
        <v>143</v>
      </c>
      <c r="H62" s="537">
        <v>617237.39</v>
      </c>
      <c r="I62" s="537">
        <f>147287.3+102401.48+174250</f>
        <v>423938.78</v>
      </c>
      <c r="J62" s="537">
        <f>K62-I62</f>
        <v>961061.22</v>
      </c>
      <c r="K62" s="537">
        <f>650000+335000+400000</f>
        <v>1385000</v>
      </c>
      <c r="L62" s="538">
        <f>SUM(F63:F65)</f>
        <v>1350000</v>
      </c>
      <c r="M62" s="529"/>
      <c r="N62" s="536"/>
    </row>
    <row r="63" spans="1:14" customHeight="1" ht="17.1" s="2" customFormat="1">
      <c r="A63" s="9"/>
      <c r="B63" s="9"/>
      <c r="C63" s="29" t="s">
        <v>65</v>
      </c>
      <c r="D63" s="9"/>
      <c r="E63" s="9"/>
      <c r="F63" s="533">
        <v>600000</v>
      </c>
      <c r="G63" s="238"/>
      <c r="H63" s="537"/>
      <c r="I63" s="537"/>
      <c r="J63" s="537"/>
      <c r="K63" s="537"/>
      <c r="L63" s="538"/>
      <c r="M63" s="556"/>
      <c r="N63" s="536"/>
    </row>
    <row r="64" spans="1:14" customHeight="1" ht="17.1" s="2" customFormat="1">
      <c r="A64" s="9"/>
      <c r="B64" s="9"/>
      <c r="C64" s="29" t="s">
        <v>269</v>
      </c>
      <c r="D64" s="9"/>
      <c r="E64" s="9"/>
      <c r="F64" s="533">
        <v>400000</v>
      </c>
      <c r="G64" s="238"/>
      <c r="H64" s="537"/>
      <c r="I64" s="537"/>
      <c r="J64" s="537"/>
      <c r="K64" s="537"/>
      <c r="L64" s="538"/>
      <c r="M64" s="556"/>
      <c r="N64" s="536"/>
    </row>
    <row r="65" spans="1:14" customHeight="1" ht="17.1" s="2" customFormat="1">
      <c r="A65" s="9"/>
      <c r="B65" s="9"/>
      <c r="C65" s="29" t="s">
        <v>258</v>
      </c>
      <c r="D65" s="9"/>
      <c r="E65" s="9"/>
      <c r="F65" s="557">
        <v>350000</v>
      </c>
      <c r="G65" s="238"/>
      <c r="H65" s="537"/>
      <c r="I65" s="537"/>
      <c r="J65" s="537"/>
      <c r="K65" s="537"/>
      <c r="L65" s="538"/>
      <c r="M65" s="66"/>
      <c r="N65" s="536"/>
    </row>
    <row r="66" spans="1:14" customHeight="1" ht="17.1" s="2" customFormat="1">
      <c r="C66" s="5" t="s">
        <v>150</v>
      </c>
      <c r="D66" s="9"/>
      <c r="E66" s="9"/>
      <c r="F66" s="533"/>
      <c r="G66" s="238" t="s">
        <v>107</v>
      </c>
      <c r="H66" s="537">
        <v>4815731.89</v>
      </c>
      <c r="I66" s="537">
        <f>852816.06+842525+1347381.25</f>
        <v>3042722.31</v>
      </c>
      <c r="J66" s="537">
        <f>K66-I66</f>
        <v>3971507.69</v>
      </c>
      <c r="K66" s="537">
        <f>2000000+1075000+3939230</f>
        <v>7014230</v>
      </c>
      <c r="L66" s="538">
        <f>SUM(F67:F72)</f>
        <v>4300000</v>
      </c>
      <c r="M66" s="66"/>
      <c r="N66" s="536"/>
    </row>
    <row r="67" spans="1:14" customHeight="1" ht="17.1" s="2" customFormat="1">
      <c r="C67" s="29" t="s">
        <v>270</v>
      </c>
      <c r="D67" s="9"/>
      <c r="E67" s="9"/>
      <c r="F67" s="533">
        <v>2000000</v>
      </c>
      <c r="G67" s="238"/>
      <c r="H67" s="537"/>
      <c r="I67" s="537"/>
      <c r="J67" s="537"/>
      <c r="K67" s="537"/>
      <c r="L67" s="538"/>
      <c r="M67" s="556"/>
      <c r="N67" s="536"/>
    </row>
    <row r="68" spans="1:14" customHeight="1" ht="17.1" s="2" customFormat="1">
      <c r="C68" s="29" t="s">
        <v>271</v>
      </c>
      <c r="D68" s="27"/>
      <c r="E68" s="9"/>
      <c r="F68" s="533">
        <v>1500000</v>
      </c>
      <c r="G68" s="238"/>
      <c r="H68" s="541"/>
      <c r="I68" s="541"/>
      <c r="J68" s="541"/>
      <c r="K68" s="541"/>
      <c r="L68" s="542"/>
      <c r="M68" s="9"/>
      <c r="N68" s="536"/>
    </row>
    <row r="69" spans="1:14" customHeight="1" ht="17.1" s="2" customFormat="1">
      <c r="C69" s="29" t="s">
        <v>272</v>
      </c>
      <c r="D69" s="9"/>
      <c r="E69" s="9"/>
      <c r="F69" s="533"/>
      <c r="G69" s="238"/>
      <c r="H69" s="537"/>
      <c r="I69" s="537"/>
      <c r="J69" s="537"/>
      <c r="K69" s="537"/>
      <c r="L69" s="538"/>
      <c r="M69" s="66"/>
      <c r="N69" s="536"/>
    </row>
    <row r="70" spans="1:14" customHeight="1" ht="17.1" s="2" customFormat="1">
      <c r="C70" s="29"/>
      <c r="D70" s="27" t="s">
        <v>258</v>
      </c>
      <c r="E70" s="9"/>
      <c r="F70" s="533">
        <v>400000</v>
      </c>
      <c r="G70" s="238"/>
      <c r="H70" s="537"/>
      <c r="I70" s="537"/>
      <c r="J70" s="537"/>
      <c r="K70" s="537"/>
      <c r="L70" s="538"/>
      <c r="M70" s="66"/>
      <c r="N70" s="536"/>
    </row>
    <row r="71" spans="1:14" customHeight="1" ht="17.1" s="2" customFormat="1">
      <c r="C71" s="29" t="s">
        <v>272</v>
      </c>
      <c r="D71" s="9"/>
      <c r="E71" s="9"/>
      <c r="F71" s="557"/>
      <c r="G71" s="238"/>
      <c r="H71" s="541"/>
      <c r="I71" s="541"/>
      <c r="J71" s="541"/>
      <c r="K71" s="541"/>
      <c r="L71" s="542"/>
      <c r="M71" s="9"/>
      <c r="N71" s="536"/>
    </row>
    <row r="72" spans="1:14" customHeight="1" ht="17.1" s="2" customFormat="1">
      <c r="C72" s="29"/>
      <c r="D72" s="27" t="s">
        <v>273</v>
      </c>
      <c r="E72" s="9"/>
      <c r="F72" s="557">
        <v>400000</v>
      </c>
      <c r="G72" s="238"/>
      <c r="H72" s="541">
        <v>0</v>
      </c>
      <c r="I72" s="541">
        <v>0</v>
      </c>
      <c r="J72" s="541">
        <v>0</v>
      </c>
      <c r="K72" s="541">
        <v>0</v>
      </c>
      <c r="L72" s="542">
        <v>0</v>
      </c>
      <c r="M72" s="9"/>
      <c r="N72" s="536"/>
    </row>
    <row r="73" spans="1:14" customHeight="1" ht="17.1" s="550" customFormat="1">
      <c r="A73" s="6" t="s">
        <v>233</v>
      </c>
      <c r="B73" s="6"/>
      <c r="C73" s="565"/>
      <c r="D73" s="273"/>
      <c r="E73" s="273"/>
      <c r="F73" s="566"/>
      <c r="G73" s="243"/>
      <c r="H73" s="567">
        <f>SUM(H58:H72)</f>
        <v>5863619.28</v>
      </c>
      <c r="I73" s="567">
        <f>SUM(I58:I72)</f>
        <v>3600167.34</v>
      </c>
      <c r="J73" s="567">
        <f>SUM(J58:J72)</f>
        <v>5434062.66</v>
      </c>
      <c r="K73" s="567">
        <f>SUM(K58:K72)</f>
        <v>9034230</v>
      </c>
      <c r="L73" s="568">
        <f>SUM(L58:L72)</f>
        <v>6285000</v>
      </c>
      <c r="M73" s="548"/>
      <c r="N73" s="549"/>
    </row>
    <row r="74" spans="1:14" customHeight="1" ht="17.1" s="550" customFormat="1">
      <c r="A74" s="6" t="s">
        <v>160</v>
      </c>
      <c r="B74" s="6"/>
      <c r="C74" s="565"/>
      <c r="D74" s="273"/>
      <c r="E74" s="273"/>
      <c r="F74" s="566"/>
      <c r="G74" s="243"/>
      <c r="H74" s="567">
        <f>+H73+H55</f>
        <v>9862521.43</v>
      </c>
      <c r="I74" s="567">
        <f>+I73+I55</f>
        <v>5325585.43</v>
      </c>
      <c r="J74" s="567">
        <f>+J73+J55</f>
        <v>10502444.57</v>
      </c>
      <c r="K74" s="567">
        <f>+K73+K55</f>
        <v>15828030</v>
      </c>
      <c r="L74" s="568">
        <f>+L73+L55</f>
        <v>11308800</v>
      </c>
      <c r="M74" s="548"/>
      <c r="N74" s="549"/>
    </row>
    <row r="75" spans="1:14" customHeight="1" ht="17.1" s="550" customFormat="1">
      <c r="A75" s="543" t="s">
        <v>161</v>
      </c>
      <c r="B75" s="543"/>
      <c r="C75" s="543"/>
      <c r="D75" s="543"/>
      <c r="E75" s="543"/>
      <c r="F75" s="544"/>
      <c r="G75" s="545"/>
      <c r="H75" s="575">
        <f>+H74+H34</f>
        <v>26028838.11</v>
      </c>
      <c r="I75" s="575">
        <f>+I74+I34</f>
        <v>16551126.1</v>
      </c>
      <c r="J75" s="575">
        <f>+J74+J34</f>
        <v>27474564.78</v>
      </c>
      <c r="K75" s="575">
        <f>+K74+K34</f>
        <v>44025690.88</v>
      </c>
      <c r="L75" s="576">
        <f>+L74+L34</f>
        <v>40250961.7</v>
      </c>
      <c r="M75" s="577"/>
      <c r="N75" s="549"/>
    </row>
    <row r="76" spans="1:14" customHeight="1" ht="17.1" s="550" customFormat="1">
      <c r="A76" s="58" t="s">
        <v>162</v>
      </c>
      <c r="B76" s="58"/>
      <c r="C76" s="565"/>
      <c r="D76" s="273"/>
      <c r="E76" s="273"/>
      <c r="F76" s="566"/>
      <c r="G76" s="243"/>
      <c r="H76" s="578"/>
      <c r="I76" s="578"/>
      <c r="J76" s="578"/>
      <c r="K76" s="578"/>
      <c r="L76" s="579"/>
      <c r="M76" s="548"/>
      <c r="N76" s="549"/>
    </row>
    <row r="77" spans="1:14" customHeight="1" ht="17.1" s="550" customFormat="1">
      <c r="A77" s="580"/>
      <c r="B77" s="580"/>
      <c r="C77" s="5" t="s">
        <v>163</v>
      </c>
      <c r="D77" s="273"/>
      <c r="E77" s="273"/>
      <c r="F77" s="566"/>
      <c r="G77" s="213" t="s">
        <v>164</v>
      </c>
      <c r="H77" s="581">
        <v>72798</v>
      </c>
      <c r="I77" s="581">
        <f>50000</f>
        <v>50000</v>
      </c>
      <c r="J77" s="534">
        <f>K77-I77</f>
        <v>258000</v>
      </c>
      <c r="K77" s="581">
        <f>108000+200000</f>
        <v>308000</v>
      </c>
      <c r="L77" s="582">
        <v>25000</v>
      </c>
      <c r="M77" s="548"/>
      <c r="N77" s="549"/>
    </row>
    <row r="78" spans="1:14" customHeight="1" ht="17.1" s="550" customFormat="1">
      <c r="A78" s="6"/>
      <c r="B78" s="6"/>
      <c r="C78" s="29" t="s">
        <v>65</v>
      </c>
      <c r="D78" s="6"/>
      <c r="E78" s="6"/>
      <c r="F78" s="583"/>
      <c r="G78" s="243"/>
      <c r="H78" s="584"/>
      <c r="I78" s="584"/>
      <c r="J78" s="537"/>
      <c r="K78" s="584"/>
      <c r="L78" s="585"/>
      <c r="M78" s="577"/>
      <c r="N78" s="549"/>
    </row>
    <row r="79" spans="1:14" customHeight="1" ht="17.1" s="550" customFormat="1">
      <c r="A79" s="6"/>
      <c r="B79" s="6"/>
      <c r="C79" s="29" t="s">
        <v>258</v>
      </c>
      <c r="D79" s="6"/>
      <c r="E79" s="6"/>
      <c r="F79" s="583"/>
      <c r="G79" s="243"/>
      <c r="H79" s="584"/>
      <c r="I79" s="584"/>
      <c r="J79" s="584"/>
      <c r="K79" s="584"/>
      <c r="L79" s="585"/>
      <c r="M79" s="577"/>
      <c r="N79" s="549"/>
    </row>
    <row r="80" spans="1:14" customHeight="1" ht="17.1" s="550" customFormat="1">
      <c r="A80" s="6"/>
      <c r="B80" s="6"/>
      <c r="C80" s="5" t="s">
        <v>166</v>
      </c>
      <c r="D80" s="273"/>
      <c r="E80" s="273"/>
      <c r="F80" s="566"/>
      <c r="G80" s="213" t="s">
        <v>167</v>
      </c>
      <c r="H80" s="586">
        <v>29760</v>
      </c>
      <c r="I80" s="586">
        <v>45470</v>
      </c>
      <c r="J80" s="537">
        <f>K80-I80</f>
        <v>279530</v>
      </c>
      <c r="K80" s="586">
        <f>245000+80000</f>
        <v>325000</v>
      </c>
      <c r="L80" s="587">
        <v>25000</v>
      </c>
      <c r="M80" s="548"/>
      <c r="N80" s="549"/>
    </row>
    <row r="81" spans="1:14" customHeight="1" ht="17.1" s="550" customFormat="1">
      <c r="A81" s="6"/>
      <c r="B81" s="6"/>
      <c r="C81" s="5" t="s">
        <v>170</v>
      </c>
      <c r="D81" s="273"/>
      <c r="E81" s="273"/>
      <c r="F81" s="557"/>
      <c r="G81" s="213" t="s">
        <v>171</v>
      </c>
      <c r="H81" s="586">
        <v>0</v>
      </c>
      <c r="I81" s="586">
        <v>0</v>
      </c>
      <c r="J81" s="537">
        <f>K81-I81</f>
        <v>277000</v>
      </c>
      <c r="K81" s="586">
        <f>47000+230000</f>
        <v>277000</v>
      </c>
      <c r="L81" s="587"/>
      <c r="M81" s="548"/>
      <c r="N81" s="549"/>
    </row>
    <row r="82" spans="1:14" customHeight="1" ht="17.1" s="550" customFormat="1">
      <c r="A82" s="6"/>
      <c r="B82" s="6"/>
      <c r="C82" s="5" t="s">
        <v>274</v>
      </c>
      <c r="D82" s="273"/>
      <c r="E82" s="273"/>
      <c r="F82" s="557"/>
      <c r="G82" s="213" t="s">
        <v>275</v>
      </c>
      <c r="H82" s="588">
        <v>0</v>
      </c>
      <c r="I82" s="588">
        <v>0</v>
      </c>
      <c r="J82" s="541">
        <f>K82-I82</f>
        <v>500000</v>
      </c>
      <c r="K82" s="588">
        <v>500000</v>
      </c>
      <c r="L82" s="589">
        <v>0</v>
      </c>
      <c r="M82" s="548"/>
      <c r="N82" s="549"/>
    </row>
    <row r="83" spans="1:14" customHeight="1" ht="17.1" s="550" customFormat="1">
      <c r="A83" s="6" t="s">
        <v>172</v>
      </c>
      <c r="B83" s="6"/>
      <c r="C83" s="565"/>
      <c r="D83" s="273"/>
      <c r="E83" s="273"/>
      <c r="F83" s="566"/>
      <c r="G83" s="243"/>
      <c r="H83" s="567">
        <f>SUM(H77:H82)</f>
        <v>102558</v>
      </c>
      <c r="I83" s="567">
        <f>SUM(I77:I82)</f>
        <v>95470</v>
      </c>
      <c r="J83" s="567">
        <f>SUM(J77:J82)</f>
        <v>1314530</v>
      </c>
      <c r="K83" s="567">
        <f>SUM(K77:K82)</f>
        <v>1410000</v>
      </c>
      <c r="L83" s="568">
        <f>SUM(L77:L82)</f>
        <v>50000</v>
      </c>
      <c r="M83" s="548"/>
      <c r="N83" s="549"/>
    </row>
    <row r="84" spans="1:14" customHeight="1" ht="15" s="550" customFormat="1">
      <c r="A84" s="6"/>
      <c r="B84" s="6"/>
      <c r="C84" s="565"/>
      <c r="D84" s="273"/>
      <c r="E84" s="273"/>
      <c r="F84" s="566"/>
      <c r="G84" s="243"/>
      <c r="H84" s="567"/>
      <c r="I84" s="567"/>
      <c r="J84" s="567"/>
      <c r="K84" s="567"/>
      <c r="L84" s="568"/>
      <c r="M84" s="548"/>
      <c r="N84" s="549"/>
    </row>
    <row r="85" spans="1:14" customHeight="1" ht="15" s="550" customFormat="1">
      <c r="A85" s="6"/>
      <c r="B85" s="6"/>
      <c r="C85" s="565"/>
      <c r="D85" s="273"/>
      <c r="E85" s="273"/>
      <c r="F85" s="566"/>
      <c r="G85" s="243"/>
      <c r="H85" s="567"/>
      <c r="I85" s="567"/>
      <c r="J85" s="567"/>
      <c r="K85" s="567"/>
      <c r="L85" s="568"/>
      <c r="M85" s="548"/>
      <c r="N85" s="549"/>
    </row>
    <row r="86" spans="1:14" customHeight="1" ht="17.1" s="550" customFormat="1">
      <c r="A86" s="543" t="s">
        <v>252</v>
      </c>
      <c r="B86" s="543"/>
      <c r="C86" s="543"/>
      <c r="D86" s="543"/>
      <c r="E86" s="543"/>
      <c r="F86" s="544"/>
      <c r="G86" s="545"/>
      <c r="H86" s="575">
        <f>+H83+H75</f>
        <v>26131396.11</v>
      </c>
      <c r="I86" s="575">
        <f>+I83+I75</f>
        <v>16646596.1</v>
      </c>
      <c r="J86" s="575">
        <f>+J83+J75</f>
        <v>28789094.78</v>
      </c>
      <c r="K86" s="575">
        <f>+K83+K75</f>
        <v>45435690.88</v>
      </c>
      <c r="L86" s="576">
        <f>+L83+L75</f>
        <v>40300961.7</v>
      </c>
      <c r="M86" s="577"/>
      <c r="N86" s="590"/>
    </row>
    <row r="87" spans="1:14" customHeight="1" ht="18" s="273" customFormat="1">
      <c r="A87" s="6"/>
      <c r="B87" s="6"/>
      <c r="G87" s="508"/>
      <c r="H87" s="508"/>
    </row>
    <row r="88" spans="1:14" customHeight="1" ht="18" s="9" customFormat="1">
      <c r="A88" s="9" t="s">
        <v>182</v>
      </c>
      <c r="I88" s="509"/>
      <c r="J88" s="509"/>
      <c r="K88" s="509"/>
      <c r="L88" s="509"/>
    </row>
    <row r="89" spans="1:14" customHeight="1" ht="18" s="9" customFormat="1">
      <c r="G89" s="510"/>
      <c r="H89" s="510"/>
      <c r="I89" s="510"/>
      <c r="J89" s="510"/>
      <c r="K89" s="510"/>
      <c r="L89" s="510"/>
    </row>
    <row r="90" spans="1:14" customHeight="1" ht="18" s="9" customFormat="1">
      <c r="A90" s="1493" t="s">
        <v>183</v>
      </c>
      <c r="B90" s="1493"/>
      <c r="C90" s="1493"/>
      <c r="D90" s="511"/>
      <c r="E90" s="511"/>
      <c r="F90" s="512" t="s">
        <v>184</v>
      </c>
      <c r="G90" s="509"/>
      <c r="H90" s="509"/>
      <c r="I90" s="509"/>
      <c r="J90" s="510" t="s">
        <v>185</v>
      </c>
      <c r="K90" s="1494"/>
      <c r="L90" s="1494"/>
    </row>
    <row r="91" spans="1:14" customHeight="1" ht="18" s="9" customFormat="1"/>
    <row r="92" spans="1:14" customHeight="1" ht="18" s="9" customFormat="1"/>
    <row r="93" spans="1:14" customHeight="1" ht="18" s="11" customFormat="1">
      <c r="A93" s="1489" t="s">
        <v>276</v>
      </c>
      <c r="B93" s="1489"/>
      <c r="C93" s="1489"/>
      <c r="D93" s="1489"/>
      <c r="E93" s="1489"/>
      <c r="F93" s="1489" t="s">
        <v>187</v>
      </c>
      <c r="G93" s="1489"/>
      <c r="H93" s="1489"/>
      <c r="I93" s="1489"/>
      <c r="J93" s="1489" t="s">
        <v>186</v>
      </c>
      <c r="K93" s="1489"/>
      <c r="L93" s="1489"/>
    </row>
    <row r="94" spans="1:14" customHeight="1" ht="12" s="11" customFormat="1">
      <c r="A94" s="1468" t="s">
        <v>189</v>
      </c>
      <c r="B94" s="1468"/>
      <c r="C94" s="1468"/>
      <c r="D94" s="1468"/>
      <c r="E94" s="1468"/>
      <c r="F94" s="1468" t="s">
        <v>189</v>
      </c>
      <c r="G94" s="1468"/>
      <c r="H94" s="1468"/>
      <c r="I94" s="1468"/>
      <c r="J94" s="1468" t="s">
        <v>188</v>
      </c>
      <c r="K94" s="1468"/>
      <c r="L94" s="1468"/>
    </row>
    <row r="95" spans="1:14" customHeight="1" ht="12" s="9" customFormat="1">
      <c r="A95" s="1468" t="s">
        <v>277</v>
      </c>
      <c r="B95" s="1468"/>
      <c r="C95" s="1468"/>
      <c r="D95" s="1468"/>
      <c r="E95" s="1468"/>
      <c r="F95" s="1468" t="s">
        <v>190</v>
      </c>
      <c r="G95" s="1468"/>
      <c r="H95" s="1468"/>
      <c r="I95" s="1468"/>
      <c r="J95" s="1468"/>
      <c r="K95" s="1468"/>
      <c r="L95" s="1468"/>
    </row>
    <row r="96" spans="1:14" customHeight="1" ht="12.95" s="9" customFormat="1">
      <c r="A96" s="7"/>
      <c r="B96" s="7"/>
      <c r="F96" s="533"/>
      <c r="G96" s="591"/>
      <c r="H96" s="591"/>
      <c r="I96" s="591"/>
      <c r="J96" s="591"/>
      <c r="K96" s="591"/>
      <c r="L96" s="591"/>
      <c r="M96" s="533"/>
      <c r="N96" s="533"/>
    </row>
    <row r="97" spans="1:14" customHeight="1" ht="14.25" s="4" customFormat="1">
      <c r="A97" s="11"/>
      <c r="B97" s="11"/>
      <c r="C97" s="11"/>
      <c r="F97" s="592"/>
      <c r="G97" s="593"/>
      <c r="H97" s="594"/>
      <c r="I97" s="594"/>
      <c r="J97" s="594"/>
      <c r="K97" s="594"/>
      <c r="L97" s="595"/>
      <c r="M97" s="533"/>
      <c r="N97" s="592"/>
    </row>
    <row r="98" spans="1:14" customHeight="1" ht="13.9">
      <c r="A98" s="7"/>
      <c r="B98" s="7"/>
      <c r="C98" s="7"/>
      <c r="D98" s="388"/>
      <c r="E98" s="388"/>
      <c r="F98" s="596"/>
      <c r="G98" s="388"/>
      <c r="H98" s="597"/>
      <c r="I98" s="597"/>
      <c r="J98" s="597"/>
      <c r="K98" s="597"/>
      <c r="M98" s="533"/>
      <c r="N98" s="599"/>
    </row>
    <row r="99" spans="1:14" customHeight="1" ht="13.9">
      <c r="A99" s="7"/>
      <c r="B99" s="7"/>
      <c r="C99" s="7"/>
      <c r="D99" s="388"/>
      <c r="E99" s="388"/>
      <c r="F99" s="596"/>
      <c r="G99" s="388"/>
      <c r="H99" s="597"/>
      <c r="I99" s="597"/>
      <c r="J99" s="597"/>
      <c r="K99" s="597"/>
      <c r="M99" s="533"/>
      <c r="N99" s="599"/>
    </row>
    <row r="100" spans="1:14" customHeight="1" ht="12" s="601" customFormat="1">
      <c r="A100" s="1495"/>
      <c r="B100" s="1495"/>
      <c r="C100" s="1495"/>
      <c r="D100" s="1495"/>
      <c r="F100" s="602"/>
      <c r="G100" s="1495"/>
      <c r="H100" s="1495"/>
      <c r="I100" s="600"/>
      <c r="J100" s="600"/>
      <c r="K100" s="603"/>
      <c r="L100" s="603"/>
      <c r="M100" s="604"/>
      <c r="N100" s="60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0:D100"/>
    <mergeCell ref="G100:H100"/>
    <mergeCell ref="A94:E94"/>
    <mergeCell ref="F94:I94"/>
    <mergeCell ref="J94:L94"/>
    <mergeCell ref="A95:E95"/>
    <mergeCell ref="F95:I95"/>
    <mergeCell ref="J95:L95"/>
    <mergeCell ref="A15:F15"/>
    <mergeCell ref="A90:C90"/>
    <mergeCell ref="K90:L90"/>
    <mergeCell ref="A93:E93"/>
    <mergeCell ref="F93:I93"/>
    <mergeCell ref="J93:L93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10"/>
  <sheetViews>
    <sheetView tabSelected="0" workbookViewId="0" showGridLines="false" showRowColHeaders="1">
      <selection activeCell="R60" sqref="R60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2.7109375" customWidth="true" style="9"/>
    <col min="6" max="6" width="12.7109375" customWidth="true" style="9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9"/>
    <col min="12" max="12" width="16.7109375" customWidth="true" style="533"/>
    <col min="13" max="13" width="14.28515625" customWidth="true" style="0"/>
  </cols>
  <sheetData>
    <row r="1" spans="1:13" customHeight="1" ht="9.95" s="173" customFormat="1">
      <c r="A1" s="173" t="s">
        <v>0</v>
      </c>
      <c r="J1" s="174"/>
      <c r="L1" s="175"/>
    </row>
    <row r="2" spans="1:13" customHeight="1" ht="9.95" s="173" customFormat="1">
      <c r="A2" s="173" t="s">
        <v>1</v>
      </c>
      <c r="J2" s="174"/>
      <c r="L2" s="175"/>
    </row>
    <row r="3" spans="1:13" customHeight="1" ht="9.95" s="173" customFormat="1">
      <c r="A3" s="173" t="s">
        <v>2</v>
      </c>
      <c r="J3" s="174"/>
      <c r="L3" s="175"/>
    </row>
    <row r="4" spans="1:13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3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3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3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3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278</v>
      </c>
    </row>
    <row r="9" spans="1:13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13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3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3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3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3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3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3" customHeight="1" ht="17.1">
      <c r="A16" s="15" t="s">
        <v>24</v>
      </c>
      <c r="B16" s="15"/>
      <c r="G16" s="526"/>
      <c r="H16" s="586"/>
      <c r="I16" s="586"/>
      <c r="J16" s="586"/>
      <c r="K16" s="605"/>
    </row>
    <row r="17" spans="1:13" customHeight="1" ht="17.1" s="611" customFormat="1">
      <c r="A17" s="58" t="s">
        <v>25</v>
      </c>
      <c r="B17" s="58"/>
      <c r="C17" s="606"/>
      <c r="D17" s="606"/>
      <c r="E17" s="606"/>
      <c r="F17" s="606"/>
      <c r="G17" s="607"/>
      <c r="H17" s="608"/>
      <c r="I17" s="608"/>
      <c r="J17" s="608"/>
      <c r="K17" s="609"/>
      <c r="L17" s="610"/>
    </row>
    <row r="18" spans="1:13" customHeight="1" ht="17.1" s="2" customFormat="1">
      <c r="B18" s="9" t="s">
        <v>279</v>
      </c>
      <c r="C18" s="9"/>
      <c r="D18" s="9"/>
      <c r="E18" s="9"/>
      <c r="F18" s="9"/>
      <c r="G18" s="213" t="s">
        <v>27</v>
      </c>
      <c r="H18" s="612">
        <v>5964350.87</v>
      </c>
      <c r="I18" s="613">
        <v>3737344.63</v>
      </c>
      <c r="J18" s="613">
        <f>K18-I18</f>
        <v>6154003.37</v>
      </c>
      <c r="K18" s="614">
        <v>9891348</v>
      </c>
      <c r="L18" s="615">
        <v>10222548</v>
      </c>
    </row>
    <row r="19" spans="1:13" customHeight="1" ht="17.1" s="2" customFormat="1">
      <c r="B19" s="9" t="s">
        <v>28</v>
      </c>
      <c r="C19" s="9"/>
      <c r="D19" s="9"/>
      <c r="E19" s="9"/>
      <c r="F19" s="9"/>
      <c r="G19" s="213" t="s">
        <v>29</v>
      </c>
      <c r="H19" s="616">
        <v>517636.36</v>
      </c>
      <c r="I19" s="537">
        <v>272000</v>
      </c>
      <c r="J19" s="537">
        <f>K19-I19</f>
        <v>448000</v>
      </c>
      <c r="K19" s="617">
        <v>720000</v>
      </c>
      <c r="L19" s="533">
        <v>720000</v>
      </c>
    </row>
    <row r="20" spans="1:13" customHeight="1" ht="17.1" s="2" customFormat="1">
      <c r="B20" s="9" t="s">
        <v>30</v>
      </c>
      <c r="C20" s="9"/>
      <c r="D20" s="9"/>
      <c r="E20" s="9"/>
      <c r="F20" s="9"/>
      <c r="G20" s="213" t="s">
        <v>31</v>
      </c>
      <c r="H20" s="616">
        <v>135000</v>
      </c>
      <c r="I20" s="537">
        <v>67500</v>
      </c>
      <c r="J20" s="537">
        <f>K20-I20</f>
        <v>67500</v>
      </c>
      <c r="K20" s="617">
        <v>135000</v>
      </c>
      <c r="L20" s="533">
        <v>135000</v>
      </c>
    </row>
    <row r="21" spans="1:13" customHeight="1" ht="17.1" s="2" customFormat="1">
      <c r="B21" s="9" t="s">
        <v>32</v>
      </c>
      <c r="C21" s="9"/>
      <c r="D21" s="9"/>
      <c r="E21" s="9"/>
      <c r="F21" s="9"/>
      <c r="G21" s="213" t="s">
        <v>33</v>
      </c>
      <c r="H21" s="616">
        <v>135000</v>
      </c>
      <c r="I21" s="537">
        <v>67500</v>
      </c>
      <c r="J21" s="537">
        <f>K21-I21</f>
        <v>67500</v>
      </c>
      <c r="K21" s="617">
        <v>135000</v>
      </c>
      <c r="L21" s="533">
        <v>135000</v>
      </c>
    </row>
    <row r="22" spans="1:13" customHeight="1" ht="17.1" s="2" customFormat="1">
      <c r="B22" s="9" t="s">
        <v>34</v>
      </c>
      <c r="C22" s="9"/>
      <c r="D22" s="9"/>
      <c r="E22" s="9"/>
      <c r="F22" s="9"/>
      <c r="G22" s="213" t="s">
        <v>35</v>
      </c>
      <c r="H22" s="616">
        <v>132000</v>
      </c>
      <c r="I22" s="537">
        <v>132000</v>
      </c>
      <c r="J22" s="537">
        <f>K22-I22</f>
        <v>48000</v>
      </c>
      <c r="K22" s="617">
        <v>180000</v>
      </c>
      <c r="L22" s="533">
        <v>180000</v>
      </c>
    </row>
    <row r="23" spans="1:13" customHeight="1" ht="17.1" s="2" customFormat="1">
      <c r="B23" s="9" t="s">
        <v>36</v>
      </c>
      <c r="C23" s="9"/>
      <c r="D23" s="9"/>
      <c r="E23" s="9"/>
      <c r="F23" s="9"/>
      <c r="G23" s="213" t="s">
        <v>280</v>
      </c>
      <c r="H23" s="616">
        <v>16848.4</v>
      </c>
      <c r="I23" s="537">
        <v>0</v>
      </c>
      <c r="J23" s="537">
        <f>K23-I23</f>
        <v>350000</v>
      </c>
      <c r="K23" s="617">
        <v>350000</v>
      </c>
      <c r="L23" s="533">
        <v>350000</v>
      </c>
    </row>
    <row r="24" spans="1:13" customHeight="1" ht="17.1" s="2" customFormat="1">
      <c r="B24" s="9" t="s">
        <v>38</v>
      </c>
      <c r="C24" s="9"/>
      <c r="D24" s="9"/>
      <c r="E24" s="9"/>
      <c r="F24" s="9"/>
      <c r="G24" s="213" t="s">
        <v>39</v>
      </c>
      <c r="H24" s="616">
        <v>493605.5</v>
      </c>
      <c r="I24" s="537">
        <v>0</v>
      </c>
      <c r="J24" s="537">
        <f>K24-I24</f>
        <v>824279</v>
      </c>
      <c r="K24" s="617">
        <v>824279</v>
      </c>
      <c r="L24" s="533">
        <v>851879</v>
      </c>
    </row>
    <row r="25" spans="1:13" customHeight="1" ht="17.1" s="2" customFormat="1">
      <c r="B25" s="9" t="s">
        <v>40</v>
      </c>
      <c r="C25" s="9"/>
      <c r="D25" s="9"/>
      <c r="E25" s="9"/>
      <c r="F25" s="9"/>
      <c r="G25" s="213" t="s">
        <v>281</v>
      </c>
      <c r="H25" s="616">
        <v>107500</v>
      </c>
      <c r="I25" s="537">
        <v>0</v>
      </c>
      <c r="J25" s="537">
        <f>K25-I25</f>
        <v>150000</v>
      </c>
      <c r="K25" s="617">
        <v>150000</v>
      </c>
      <c r="L25" s="533">
        <v>150000</v>
      </c>
    </row>
    <row r="26" spans="1:13" customHeight="1" ht="17.1" s="2" customFormat="1">
      <c r="A26" s="9"/>
      <c r="B26" s="9" t="s">
        <v>42</v>
      </c>
      <c r="C26" s="9"/>
      <c r="D26" s="539"/>
      <c r="E26" s="539"/>
      <c r="F26" s="539"/>
      <c r="G26" s="213" t="s">
        <v>43</v>
      </c>
      <c r="H26" s="616">
        <v>561879</v>
      </c>
      <c r="I26" s="537">
        <v>640487</v>
      </c>
      <c r="J26" s="537">
        <f>K26-I26</f>
        <v>333792</v>
      </c>
      <c r="K26" s="617">
        <v>974279</v>
      </c>
      <c r="L26" s="533">
        <f>SUM(F27:F28)</f>
        <v>1001879</v>
      </c>
    </row>
    <row r="27" spans="1:13" customHeight="1" ht="17.1" s="2" customFormat="1">
      <c r="A27" s="9"/>
      <c r="B27" s="29" t="s">
        <v>44</v>
      </c>
      <c r="C27" s="29"/>
      <c r="D27" s="539"/>
      <c r="E27" s="539"/>
      <c r="F27" s="539">
        <f>L24</f>
        <v>851879</v>
      </c>
      <c r="G27" s="213"/>
      <c r="H27" s="616"/>
      <c r="I27" s="537"/>
      <c r="J27" s="537"/>
      <c r="K27" s="617"/>
      <c r="L27" s="533"/>
    </row>
    <row r="28" spans="1:13" customHeight="1" ht="17.1" s="2" customFormat="1">
      <c r="A28" s="9"/>
      <c r="B28" s="29" t="s">
        <v>45</v>
      </c>
      <c r="C28" s="29"/>
      <c r="D28" s="539"/>
      <c r="E28" s="539"/>
      <c r="F28" s="618">
        <v>150000</v>
      </c>
      <c r="G28" s="213"/>
      <c r="H28" s="616"/>
      <c r="I28" s="537"/>
      <c r="J28" s="537"/>
      <c r="K28" s="617"/>
      <c r="L28" s="533"/>
    </row>
    <row r="29" spans="1:13" customHeight="1" ht="17.1" s="2" customFormat="1">
      <c r="B29" s="9" t="s">
        <v>282</v>
      </c>
      <c r="C29" s="9"/>
      <c r="D29" s="9"/>
      <c r="E29" s="9"/>
      <c r="F29" s="9"/>
      <c r="G29" s="213" t="s">
        <v>47</v>
      </c>
      <c r="H29" s="616">
        <v>715231.32</v>
      </c>
      <c r="I29" s="537">
        <v>448338.29</v>
      </c>
      <c r="J29" s="537">
        <f>K29-I29</f>
        <v>738623.47</v>
      </c>
      <c r="K29" s="617">
        <v>1186961.76</v>
      </c>
      <c r="L29" s="533">
        <v>1226705.76</v>
      </c>
    </row>
    <row r="30" spans="1:13" customHeight="1" ht="17.1" s="2" customFormat="1">
      <c r="B30" s="9" t="s">
        <v>48</v>
      </c>
      <c r="C30" s="9"/>
      <c r="D30" s="9"/>
      <c r="E30" s="9"/>
      <c r="F30" s="9"/>
      <c r="G30" s="213" t="s">
        <v>49</v>
      </c>
      <c r="H30" s="616">
        <v>25900</v>
      </c>
      <c r="I30" s="537">
        <v>13600</v>
      </c>
      <c r="J30" s="537">
        <f>K30-I30</f>
        <v>22400</v>
      </c>
      <c r="K30" s="617">
        <v>36000</v>
      </c>
      <c r="L30" s="533">
        <v>36000</v>
      </c>
    </row>
    <row r="31" spans="1:13" customHeight="1" ht="17.1" s="2" customFormat="1">
      <c r="B31" s="9" t="s">
        <v>50</v>
      </c>
      <c r="C31" s="9"/>
      <c r="D31" s="7"/>
      <c r="E31" s="7"/>
      <c r="F31" s="7"/>
      <c r="G31" s="213" t="s">
        <v>51</v>
      </c>
      <c r="H31" s="616">
        <v>81796.67</v>
      </c>
      <c r="I31" s="537">
        <v>52594.7</v>
      </c>
      <c r="J31" s="537">
        <f>K31-I31</f>
        <v>142662.1</v>
      </c>
      <c r="K31" s="617">
        <v>195256.8</v>
      </c>
      <c r="L31" s="533">
        <v>229353.66</v>
      </c>
    </row>
    <row r="32" spans="1:13" customHeight="1" ht="17.1" s="2" customFormat="1">
      <c r="B32" s="9" t="s">
        <v>52</v>
      </c>
      <c r="C32" s="9"/>
      <c r="D32" s="7"/>
      <c r="E32" s="7"/>
      <c r="F32" s="7"/>
      <c r="G32" s="213" t="s">
        <v>53</v>
      </c>
      <c r="H32" s="616">
        <v>25900</v>
      </c>
      <c r="I32" s="537">
        <v>13600</v>
      </c>
      <c r="J32" s="537">
        <f>K32-I32</f>
        <v>22400</v>
      </c>
      <c r="K32" s="617">
        <v>36000</v>
      </c>
      <c r="L32" s="533">
        <v>36000</v>
      </c>
    </row>
    <row r="33" spans="1:13" customHeight="1" ht="17.1" s="2" customFormat="1">
      <c r="B33" s="9" t="s">
        <v>58</v>
      </c>
      <c r="C33" s="9"/>
      <c r="D33" s="9"/>
      <c r="E33" s="9"/>
      <c r="F33" s="9"/>
      <c r="G33" s="213" t="s">
        <v>59</v>
      </c>
      <c r="H33" s="619">
        <v>525000</v>
      </c>
      <c r="I33" s="541">
        <v>0</v>
      </c>
      <c r="J33" s="541">
        <f>K33-I33</f>
        <v>0</v>
      </c>
      <c r="K33" s="620">
        <v>0</v>
      </c>
      <c r="L33" s="557">
        <v>0</v>
      </c>
    </row>
    <row r="34" spans="1:13" customHeight="1" ht="17.1" s="626" customFormat="1">
      <c r="A34" s="543" t="s">
        <v>256</v>
      </c>
      <c r="B34" s="543"/>
      <c r="C34" s="621"/>
      <c r="D34" s="621"/>
      <c r="E34" s="621"/>
      <c r="F34" s="621"/>
      <c r="G34" s="622"/>
      <c r="H34" s="546">
        <f>SUM(H18:H33)</f>
        <v>9437648.12</v>
      </c>
      <c r="I34" s="546">
        <f>SUM(I18:I33)</f>
        <v>5444964.62</v>
      </c>
      <c r="J34" s="546">
        <f>SUM(J18:J33)</f>
        <v>9369159.94</v>
      </c>
      <c r="K34" s="623">
        <f>SUM(K18:K33)</f>
        <v>14814124.56</v>
      </c>
      <c r="L34" s="624">
        <f>SUM(L18:L33)</f>
        <v>15274365.42</v>
      </c>
      <c r="M34" s="625"/>
    </row>
    <row r="35" spans="1:13" customHeight="1" ht="15" s="626" customFormat="1">
      <c r="A35" s="6"/>
      <c r="B35" s="6"/>
      <c r="C35" s="273"/>
      <c r="D35" s="273"/>
      <c r="E35" s="273"/>
      <c r="F35" s="273"/>
      <c r="G35" s="253"/>
      <c r="H35" s="627"/>
      <c r="I35" s="627"/>
      <c r="J35" s="627"/>
      <c r="K35" s="628"/>
      <c r="L35" s="629"/>
      <c r="M35" s="625"/>
    </row>
    <row r="36" spans="1:13" customHeight="1" ht="16.5" s="11" customFormat="1">
      <c r="A36" s="58" t="s">
        <v>62</v>
      </c>
      <c r="B36" s="58"/>
      <c r="C36" s="9"/>
      <c r="D36" s="9"/>
      <c r="E36" s="9"/>
      <c r="F36" s="9"/>
      <c r="G36" s="213"/>
      <c r="H36" s="244"/>
      <c r="I36" s="244"/>
      <c r="J36" s="244"/>
      <c r="K36" s="630"/>
      <c r="L36" s="631"/>
    </row>
    <row r="37" spans="1:13" customHeight="1" ht="16.5" s="11" customFormat="1">
      <c r="B37" s="9" t="s">
        <v>63</v>
      </c>
      <c r="C37" s="9"/>
      <c r="D37" s="9"/>
      <c r="E37" s="9"/>
      <c r="F37" s="9"/>
      <c r="G37" s="238" t="s">
        <v>64</v>
      </c>
      <c r="H37" s="632">
        <v>24599</v>
      </c>
      <c r="I37" s="632">
        <v>66654</v>
      </c>
      <c r="J37" s="613">
        <f>K37-I37</f>
        <v>233346</v>
      </c>
      <c r="K37" s="633">
        <v>300000</v>
      </c>
      <c r="L37" s="634">
        <v>200000</v>
      </c>
    </row>
    <row r="38" spans="1:13" customHeight="1" ht="16.5" s="11" customFormat="1">
      <c r="B38" s="9" t="s">
        <v>72</v>
      </c>
      <c r="C38" s="9"/>
      <c r="D38" s="9"/>
      <c r="E38" s="9"/>
      <c r="F38" s="9"/>
      <c r="G38" s="238" t="s">
        <v>73</v>
      </c>
      <c r="H38" s="586">
        <v>9000</v>
      </c>
      <c r="I38" s="586">
        <v>43000</v>
      </c>
      <c r="J38" s="537">
        <f>K38-I38</f>
        <v>107000</v>
      </c>
      <c r="K38" s="635">
        <v>150000</v>
      </c>
      <c r="L38" s="511">
        <v>100000</v>
      </c>
    </row>
    <row r="39" spans="1:13" customHeight="1" ht="16.5" s="2" customFormat="1">
      <c r="B39" s="9" t="s">
        <v>234</v>
      </c>
      <c r="C39" s="9"/>
      <c r="D39" s="9"/>
      <c r="E39" s="9"/>
      <c r="F39" s="9"/>
      <c r="G39" s="238" t="s">
        <v>77</v>
      </c>
      <c r="H39" s="537">
        <v>408246.5</v>
      </c>
      <c r="I39" s="537">
        <v>50956</v>
      </c>
      <c r="J39" s="537">
        <f>K39-I39</f>
        <v>349044</v>
      </c>
      <c r="K39" s="635">
        <v>400000</v>
      </c>
      <c r="L39" s="511">
        <v>200000</v>
      </c>
    </row>
    <row r="40" spans="1:13" customHeight="1" ht="16.5" s="2" customFormat="1">
      <c r="B40" s="9" t="s">
        <v>235</v>
      </c>
      <c r="C40" s="9"/>
      <c r="D40" s="9"/>
      <c r="E40" s="9"/>
      <c r="F40" s="9"/>
      <c r="G40" s="238" t="s">
        <v>80</v>
      </c>
      <c r="H40" s="537">
        <v>198817</v>
      </c>
      <c r="I40" s="537">
        <v>0</v>
      </c>
      <c r="J40" s="537">
        <f>K40-I40</f>
        <v>250000</v>
      </c>
      <c r="K40" s="635">
        <v>250000</v>
      </c>
      <c r="L40" s="511">
        <v>250000</v>
      </c>
    </row>
    <row r="41" spans="1:13" customHeight="1" ht="16.5" s="2" customFormat="1">
      <c r="B41" s="9" t="s">
        <v>93</v>
      </c>
      <c r="C41" s="9"/>
      <c r="D41" s="9"/>
      <c r="E41" s="9"/>
      <c r="F41" s="9"/>
      <c r="G41" s="238" t="s">
        <v>94</v>
      </c>
      <c r="H41" s="537"/>
      <c r="I41" s="537">
        <v>0</v>
      </c>
      <c r="J41" s="537">
        <f>K41-I41</f>
        <v>7500</v>
      </c>
      <c r="K41" s="635">
        <v>7500</v>
      </c>
      <c r="L41" s="511">
        <v>7500</v>
      </c>
    </row>
    <row r="42" spans="1:13" customHeight="1" ht="16.5" s="2" customFormat="1">
      <c r="B42" s="9" t="s">
        <v>283</v>
      </c>
      <c r="C42" s="9"/>
      <c r="D42" s="9"/>
      <c r="E42" s="9"/>
      <c r="F42" s="9"/>
      <c r="G42" s="238" t="s">
        <v>96</v>
      </c>
      <c r="H42" s="537">
        <v>24469</v>
      </c>
      <c r="I42" s="537">
        <v>19867</v>
      </c>
      <c r="J42" s="537">
        <f>K42-I42</f>
        <v>1633</v>
      </c>
      <c r="K42" s="635">
        <v>21500</v>
      </c>
      <c r="L42" s="511">
        <v>21500</v>
      </c>
    </row>
    <row r="43" spans="1:13" customHeight="1" ht="16.5" s="2" customFormat="1">
      <c r="B43" s="9" t="s">
        <v>284</v>
      </c>
      <c r="C43" s="9"/>
      <c r="D43" s="5"/>
      <c r="E43" s="5"/>
      <c r="F43" s="5"/>
      <c r="G43" s="238" t="s">
        <v>100</v>
      </c>
      <c r="H43" s="537">
        <v>2800</v>
      </c>
      <c r="I43" s="537">
        <v>0</v>
      </c>
      <c r="J43" s="537">
        <f>K43-I43</f>
        <v>50000</v>
      </c>
      <c r="K43" s="635">
        <v>50000</v>
      </c>
      <c r="L43" s="511">
        <v>50000</v>
      </c>
    </row>
    <row r="44" spans="1:13" customHeight="1" ht="16.5" s="2" customFormat="1">
      <c r="B44" s="9" t="s">
        <v>285</v>
      </c>
      <c r="C44" s="9"/>
      <c r="D44" s="636"/>
      <c r="E44" s="636"/>
      <c r="F44" s="636"/>
      <c r="G44" s="238" t="s">
        <v>102</v>
      </c>
      <c r="H44" s="537">
        <v>120919.42</v>
      </c>
      <c r="I44" s="537">
        <v>0</v>
      </c>
      <c r="J44" s="537">
        <f>K44-I44</f>
        <v>100000</v>
      </c>
      <c r="K44" s="635">
        <v>100000</v>
      </c>
      <c r="L44" s="511">
        <v>80000</v>
      </c>
    </row>
    <row r="45" spans="1:13" customHeight="1" ht="16.5" s="2" customFormat="1">
      <c r="A45" s="9"/>
      <c r="B45" s="9" t="s">
        <v>265</v>
      </c>
      <c r="C45" s="9"/>
      <c r="D45" s="9"/>
      <c r="E45" s="9"/>
      <c r="F45" s="9"/>
      <c r="G45" s="213" t="s">
        <v>123</v>
      </c>
      <c r="H45" s="537">
        <v>4908.12</v>
      </c>
      <c r="I45" s="537">
        <v>2629.06</v>
      </c>
      <c r="J45" s="537">
        <f>K45-I45</f>
        <v>2370.94</v>
      </c>
      <c r="K45" s="635">
        <v>5000</v>
      </c>
      <c r="L45" s="511">
        <v>5000</v>
      </c>
    </row>
    <row r="46" spans="1:13" customHeight="1" ht="16.5" s="2" customFormat="1">
      <c r="B46" s="9" t="s">
        <v>241</v>
      </c>
      <c r="C46" s="9"/>
      <c r="D46" s="9"/>
      <c r="E46" s="9"/>
      <c r="F46" s="9"/>
      <c r="G46" s="238" t="s">
        <v>242</v>
      </c>
      <c r="H46" s="537">
        <v>134250</v>
      </c>
      <c r="I46" s="537">
        <v>0</v>
      </c>
      <c r="J46" s="537">
        <f>K46-I46</f>
        <v>200000</v>
      </c>
      <c r="K46" s="635">
        <v>200000</v>
      </c>
      <c r="L46" s="511">
        <v>100000</v>
      </c>
    </row>
    <row r="47" spans="1:13" customHeight="1" ht="16.5" s="2" customFormat="1">
      <c r="A47" s="9"/>
      <c r="B47" s="9" t="s">
        <v>142</v>
      </c>
      <c r="C47" s="9"/>
      <c r="D47" s="9"/>
      <c r="E47" s="9"/>
      <c r="F47" s="9"/>
      <c r="G47" s="213" t="s">
        <v>143</v>
      </c>
      <c r="H47" s="537">
        <v>78989.31</v>
      </c>
      <c r="I47" s="537">
        <f>3263.07+1011087.92</f>
        <v>1014350.99</v>
      </c>
      <c r="J47" s="537">
        <f>K47-I47</f>
        <v>1585649.01</v>
      </c>
      <c r="K47" s="617">
        <f>800000+1800000</f>
        <v>2600000</v>
      </c>
      <c r="L47" s="533">
        <f>F48+F49</f>
        <v>1300000</v>
      </c>
    </row>
    <row r="48" spans="1:13" customHeight="1" ht="16.5" s="2" customFormat="1">
      <c r="A48" s="9"/>
      <c r="B48" s="29" t="s">
        <v>65</v>
      </c>
      <c r="C48" s="29"/>
      <c r="D48" s="9"/>
      <c r="E48" s="9"/>
      <c r="F48" s="637">
        <v>500000</v>
      </c>
      <c r="G48" s="213"/>
      <c r="H48" s="537"/>
      <c r="I48" s="537"/>
      <c r="J48" s="586"/>
      <c r="K48" s="617"/>
      <c r="L48" s="533"/>
    </row>
    <row r="49" spans="1:13" customHeight="1" ht="16.5" s="2" customFormat="1">
      <c r="A49" s="9"/>
      <c r="B49" s="29" t="s">
        <v>286</v>
      </c>
      <c r="C49" s="29"/>
      <c r="D49" s="9"/>
      <c r="E49" s="9"/>
      <c r="F49" s="638">
        <v>800000</v>
      </c>
      <c r="G49" s="213"/>
      <c r="H49" s="537"/>
      <c r="I49" s="537"/>
      <c r="J49" s="586"/>
      <c r="K49" s="617"/>
      <c r="L49" s="533"/>
    </row>
    <row r="50" spans="1:13" customHeight="1" ht="16.5" s="2" customFormat="1">
      <c r="B50" s="5" t="s">
        <v>150</v>
      </c>
      <c r="C50" s="5"/>
      <c r="D50" s="9"/>
      <c r="E50" s="9"/>
      <c r="F50" s="9"/>
      <c r="G50" s="238" t="s">
        <v>107</v>
      </c>
      <c r="H50" s="537">
        <v>908600</v>
      </c>
      <c r="I50" s="537">
        <v>301672.49</v>
      </c>
      <c r="J50" s="537">
        <f>K50-I50</f>
        <v>498327.51</v>
      </c>
      <c r="K50" s="617">
        <v>800000</v>
      </c>
      <c r="L50" s="533">
        <v>600000</v>
      </c>
    </row>
    <row r="51" spans="1:13" customHeight="1" ht="20.25" s="2" customFormat="1">
      <c r="B51" s="29" t="s">
        <v>287</v>
      </c>
      <c r="C51" s="29"/>
      <c r="D51" s="9"/>
      <c r="E51" s="9"/>
      <c r="F51" s="9"/>
      <c r="G51" s="238"/>
      <c r="H51" s="541">
        <v>0</v>
      </c>
      <c r="I51" s="541">
        <v>0</v>
      </c>
      <c r="J51" s="588">
        <v>0</v>
      </c>
      <c r="K51" s="620">
        <v>0</v>
      </c>
      <c r="L51" s="557">
        <v>0</v>
      </c>
    </row>
    <row r="52" spans="1:13" customHeight="1" ht="21" s="550" customFormat="1">
      <c r="A52" s="565" t="s">
        <v>160</v>
      </c>
      <c r="B52" s="565"/>
      <c r="C52" s="6"/>
      <c r="D52" s="6"/>
      <c r="E52" s="6"/>
      <c r="F52" s="6"/>
      <c r="G52" s="243"/>
      <c r="H52" s="627">
        <f>SUM(H37:H51)</f>
        <v>1915598.35</v>
      </c>
      <c r="I52" s="627">
        <f>SUM(I37:I51)</f>
        <v>1499129.54</v>
      </c>
      <c r="J52" s="627">
        <f>SUM(J37:J51)</f>
        <v>3384870.46</v>
      </c>
      <c r="K52" s="628">
        <f>SUM(K37:K51)</f>
        <v>4884000</v>
      </c>
      <c r="L52" s="629">
        <f>SUM(L37:L51)</f>
        <v>2914000</v>
      </c>
    </row>
    <row r="53" spans="1:13" customHeight="1" ht="24.75" s="626" customFormat="1">
      <c r="A53" s="543" t="s">
        <v>161</v>
      </c>
      <c r="B53" s="543"/>
      <c r="C53" s="621"/>
      <c r="D53" s="621"/>
      <c r="E53" s="621"/>
      <c r="F53" s="621"/>
      <c r="G53" s="622"/>
      <c r="H53" s="546">
        <f>+H52+H34</f>
        <v>11353246.47</v>
      </c>
      <c r="I53" s="546">
        <f>I52+I34</f>
        <v>6944094.16</v>
      </c>
      <c r="J53" s="546">
        <f>J52+J34</f>
        <v>12754030.4</v>
      </c>
      <c r="K53" s="623">
        <f>+K52+K34</f>
        <v>19698124.56</v>
      </c>
      <c r="L53" s="624">
        <f>+L52+L34</f>
        <v>18188365.42</v>
      </c>
    </row>
    <row r="54" spans="1:13" customHeight="1" ht="17.1" s="626" customFormat="1">
      <c r="A54" s="6"/>
      <c r="B54" s="6"/>
      <c r="C54" s="273"/>
      <c r="D54" s="273"/>
      <c r="E54" s="273"/>
      <c r="F54" s="273"/>
      <c r="G54" s="253"/>
      <c r="H54" s="627"/>
      <c r="I54" s="627"/>
      <c r="J54" s="627"/>
      <c r="K54" s="628"/>
      <c r="L54" s="629"/>
    </row>
    <row r="55" spans="1:13" customHeight="1" ht="17.1" s="644" customFormat="1">
      <c r="A55" s="58" t="s">
        <v>162</v>
      </c>
      <c r="B55" s="58"/>
      <c r="C55" s="639"/>
      <c r="D55" s="639"/>
      <c r="E55" s="639"/>
      <c r="F55" s="639"/>
      <c r="G55" s="640"/>
      <c r="H55" s="641"/>
      <c r="I55" s="641"/>
      <c r="J55" s="641"/>
      <c r="K55" s="642"/>
      <c r="L55" s="643"/>
    </row>
    <row r="56" spans="1:13" customHeight="1" ht="17.1" s="550" customFormat="1">
      <c r="A56" s="68"/>
      <c r="B56" s="5" t="s">
        <v>163</v>
      </c>
      <c r="C56" s="9"/>
      <c r="D56" s="7"/>
      <c r="E56" s="7"/>
      <c r="F56" s="7"/>
      <c r="G56" s="213" t="s">
        <v>164</v>
      </c>
      <c r="H56" s="645">
        <v>27400</v>
      </c>
      <c r="I56" s="646">
        <v>27200</v>
      </c>
      <c r="J56" s="613">
        <f>K56-I56</f>
        <v>222800</v>
      </c>
      <c r="K56" s="647">
        <v>250000</v>
      </c>
      <c r="L56" s="648">
        <v>25000</v>
      </c>
    </row>
    <row r="57" spans="1:13" customHeight="1" ht="17.1" s="550" customFormat="1">
      <c r="A57" s="68"/>
      <c r="B57" s="5" t="s">
        <v>248</v>
      </c>
      <c r="C57" s="9"/>
      <c r="D57" s="7"/>
      <c r="E57" s="7"/>
      <c r="F57" s="7"/>
      <c r="G57" s="213" t="s">
        <v>167</v>
      </c>
      <c r="H57" s="616">
        <v>30000</v>
      </c>
      <c r="I57" s="616">
        <v>50000</v>
      </c>
      <c r="J57" s="537">
        <f>K57-I57</f>
        <v>0</v>
      </c>
      <c r="K57" s="649">
        <v>50000</v>
      </c>
      <c r="L57" s="650">
        <v>25000</v>
      </c>
    </row>
    <row r="58" spans="1:13" customHeight="1" ht="17.1" s="652" customFormat="1">
      <c r="A58" s="68"/>
      <c r="B58" s="5" t="s">
        <v>210</v>
      </c>
      <c r="C58" s="9"/>
      <c r="D58" s="9"/>
      <c r="E58" s="9"/>
      <c r="F58" s="9"/>
      <c r="G58" s="213" t="s">
        <v>171</v>
      </c>
      <c r="H58" s="541">
        <v>0</v>
      </c>
      <c r="I58" s="541">
        <v>0</v>
      </c>
      <c r="J58" s="541">
        <v>0</v>
      </c>
      <c r="K58" s="620">
        <v>0</v>
      </c>
      <c r="L58" s="651">
        <v>0</v>
      </c>
    </row>
    <row r="59" spans="1:13" customHeight="1" ht="17.1" s="19" customFormat="1">
      <c r="A59" s="18" t="s">
        <v>172</v>
      </c>
      <c r="B59" s="18"/>
      <c r="C59" s="18"/>
      <c r="D59" s="18"/>
      <c r="E59" s="18"/>
      <c r="F59" s="18"/>
      <c r="G59" s="219"/>
      <c r="H59" s="653">
        <f>SUM(H56:H58)</f>
        <v>57400</v>
      </c>
      <c r="I59" s="653">
        <f>SUM(I56:I58)</f>
        <v>77200</v>
      </c>
      <c r="J59" s="653">
        <f>SUM(J56:J58)</f>
        <v>222800</v>
      </c>
      <c r="K59" s="654">
        <f>SUM(K56:K58)</f>
        <v>300000</v>
      </c>
      <c r="L59" s="655">
        <f>SUM(L56:L58)</f>
        <v>50000</v>
      </c>
    </row>
    <row r="60" spans="1:13" customHeight="1" ht="17.1" s="19" customFormat="1">
      <c r="A60" s="18"/>
      <c r="B60" s="18"/>
      <c r="C60" s="18"/>
      <c r="D60" s="18"/>
      <c r="E60" s="18"/>
      <c r="F60" s="18"/>
      <c r="G60" s="219"/>
      <c r="H60" s="219"/>
      <c r="I60" s="219"/>
      <c r="J60" s="653"/>
      <c r="K60" s="654"/>
      <c r="L60" s="655"/>
    </row>
    <row r="61" spans="1:13" customHeight="1" ht="17.1" s="550" customFormat="1">
      <c r="A61" s="6" t="s">
        <v>252</v>
      </c>
      <c r="B61" s="6"/>
      <c r="C61" s="6"/>
      <c r="D61" s="6"/>
      <c r="E61" s="6"/>
      <c r="F61" s="6"/>
      <c r="G61" s="243"/>
      <c r="H61" s="656">
        <f>H59+H53</f>
        <v>11410646.47</v>
      </c>
      <c r="I61" s="656">
        <f>I59+I53</f>
        <v>7021294.16</v>
      </c>
      <c r="J61" s="656">
        <f>J59+J53</f>
        <v>12976830.4</v>
      </c>
      <c r="K61" s="657">
        <f>K59+K53</f>
        <v>19998124.56</v>
      </c>
      <c r="L61" s="658">
        <f>L59+L53</f>
        <v>18238365.42</v>
      </c>
    </row>
    <row r="62" spans="1:13" customHeight="1" ht="17.1" s="626" customFormat="1">
      <c r="A62" s="543"/>
      <c r="B62" s="543"/>
      <c r="C62" s="621"/>
      <c r="D62" s="621"/>
      <c r="E62" s="621"/>
      <c r="F62" s="621"/>
      <c r="G62" s="622"/>
      <c r="H62" s="546"/>
      <c r="I62" s="546"/>
      <c r="J62" s="546"/>
      <c r="K62" s="623"/>
      <c r="L62" s="624"/>
    </row>
    <row r="63" spans="1:13" customHeight="1" ht="18" s="273" customFormat="1">
      <c r="A63" s="6"/>
      <c r="B63" s="6"/>
      <c r="G63" s="508"/>
      <c r="H63" s="508"/>
    </row>
    <row r="64" spans="1:13" customHeight="1" ht="18" s="9" customFormat="1">
      <c r="A64" s="9" t="s">
        <v>182</v>
      </c>
      <c r="I64" s="509"/>
      <c r="J64" s="509"/>
      <c r="K64" s="509"/>
      <c r="L64" s="509"/>
    </row>
    <row r="65" spans="1:13" customHeight="1" ht="18" s="9" customFormat="1">
      <c r="G65" s="510"/>
      <c r="H65" s="510"/>
      <c r="I65" s="510"/>
      <c r="J65" s="510"/>
      <c r="K65" s="510"/>
      <c r="L65" s="510"/>
    </row>
    <row r="66" spans="1:13" customHeight="1" ht="18" s="9" customFormat="1">
      <c r="A66" s="1493" t="s">
        <v>183</v>
      </c>
      <c r="B66" s="1493"/>
      <c r="C66" s="1493"/>
      <c r="D66" s="511"/>
      <c r="E66" s="511"/>
      <c r="F66" s="512" t="s">
        <v>184</v>
      </c>
      <c r="G66" s="509"/>
      <c r="H66" s="509"/>
      <c r="I66" s="509"/>
      <c r="J66" s="510" t="s">
        <v>185</v>
      </c>
      <c r="K66" s="1494"/>
      <c r="L66" s="1494"/>
    </row>
    <row r="67" spans="1:13" customHeight="1" ht="18" s="9" customFormat="1"/>
    <row r="68" spans="1:13" customHeight="1" ht="18" s="9" customFormat="1"/>
    <row r="69" spans="1:13" customHeight="1" ht="18" s="11" customFormat="1">
      <c r="A69" s="1489" t="s">
        <v>288</v>
      </c>
      <c r="B69" s="1489"/>
      <c r="C69" s="1489"/>
      <c r="D69" s="1489"/>
      <c r="E69" s="1489"/>
      <c r="F69" s="1489" t="s">
        <v>187</v>
      </c>
      <c r="G69" s="1489"/>
      <c r="H69" s="1489"/>
      <c r="I69" s="1489"/>
      <c r="J69" s="1489" t="s">
        <v>186</v>
      </c>
      <c r="K69" s="1489"/>
      <c r="L69" s="1489"/>
    </row>
    <row r="70" spans="1:13" customHeight="1" ht="12" s="11" customFormat="1">
      <c r="A70" s="1468" t="s">
        <v>189</v>
      </c>
      <c r="B70" s="1468"/>
      <c r="C70" s="1468"/>
      <c r="D70" s="1468"/>
      <c r="E70" s="1468"/>
      <c r="F70" s="1468" t="s">
        <v>189</v>
      </c>
      <c r="G70" s="1468"/>
      <c r="H70" s="1468"/>
      <c r="I70" s="1468"/>
      <c r="J70" s="1468" t="s">
        <v>188</v>
      </c>
      <c r="K70" s="1468"/>
      <c r="L70" s="1468"/>
    </row>
    <row r="71" spans="1:13" customHeight="1" ht="12" s="9" customFormat="1">
      <c r="A71" s="1468" t="s">
        <v>289</v>
      </c>
      <c r="B71" s="1468"/>
      <c r="C71" s="1468"/>
      <c r="D71" s="1468"/>
      <c r="E71" s="1468"/>
      <c r="F71" s="1468" t="s">
        <v>190</v>
      </c>
      <c r="G71" s="1468"/>
      <c r="H71" s="1468"/>
      <c r="I71" s="1468"/>
      <c r="J71" s="1468"/>
      <c r="K71" s="1468"/>
      <c r="L71" s="1468"/>
    </row>
    <row r="72" spans="1:13" customHeight="1" ht="16.9" s="626" customFormat="1">
      <c r="A72" s="6"/>
      <c r="B72" s="6"/>
      <c r="C72" s="273"/>
      <c r="D72" s="273"/>
      <c r="E72" s="273"/>
      <c r="F72" s="273"/>
      <c r="G72" s="282"/>
      <c r="H72" s="629"/>
      <c r="I72" s="629"/>
      <c r="J72" s="629"/>
      <c r="K72" s="629"/>
      <c r="L72" s="629"/>
    </row>
    <row r="73" spans="1:13" customHeight="1" ht="12.6" s="660" customFormat="1">
      <c r="A73" s="1495"/>
      <c r="B73" s="1495"/>
      <c r="C73" s="1495"/>
      <c r="D73" s="1495"/>
      <c r="E73" s="1495"/>
      <c r="F73" s="600"/>
      <c r="G73" s="1495"/>
      <c r="H73" s="1495"/>
      <c r="I73" s="1495"/>
      <c r="J73" s="659"/>
      <c r="K73" s="1495"/>
      <c r="L73" s="1495"/>
    </row>
    <row r="74" spans="1:13" customHeight="1" ht="12.6" s="660" customFormat="1">
      <c r="A74" s="1496"/>
      <c r="B74" s="1496"/>
      <c r="C74" s="1496"/>
      <c r="D74" s="1496"/>
      <c r="E74" s="1496"/>
      <c r="F74" s="391"/>
      <c r="G74" s="1495"/>
      <c r="H74" s="1495"/>
      <c r="I74" s="1495"/>
      <c r="J74" s="659"/>
      <c r="K74" s="600"/>
      <c r="L74" s="600"/>
    </row>
    <row r="75" spans="1:13" customHeight="1" ht="13.9" s="660" customFormat="1">
      <c r="A75" s="391"/>
      <c r="B75" s="391"/>
      <c r="C75" s="391"/>
      <c r="D75" s="391"/>
      <c r="E75" s="391"/>
      <c r="F75" s="391"/>
      <c r="G75" s="1495"/>
      <c r="H75" s="1495"/>
      <c r="I75" s="1495"/>
      <c r="J75" s="659"/>
      <c r="K75" s="600"/>
      <c r="L75" s="600"/>
    </row>
    <row r="76" spans="1:13" customHeight="1" ht="17.25"/>
    <row r="77" spans="1:13" customHeight="1" ht="17.25"/>
    <row r="78" spans="1:13" customHeight="1" ht="17.25"/>
    <row r="79" spans="1:13" customHeight="1" ht="17.25"/>
    <row r="80" spans="1:13" customHeight="1" ht="17.25"/>
    <row r="81" spans="1:13" customHeight="1" ht="17.25"/>
    <row r="82" spans="1:13" customHeight="1" ht="17.25"/>
    <row r="83" spans="1:13" customHeight="1" ht="17.25"/>
    <row r="84" spans="1:13" customHeight="1" ht="17.25"/>
    <row r="85" spans="1:13" customHeight="1" ht="17.25"/>
    <row r="86" spans="1:13" customHeight="1" ht="17.25"/>
    <row r="87" spans="1:13" customHeight="1" ht="17.25"/>
    <row r="88" spans="1:13" customHeight="1" ht="17.25"/>
    <row r="89" spans="1:13" customHeight="1" ht="17.25"/>
    <row r="90" spans="1:13" customHeight="1" ht="17.25"/>
    <row r="91" spans="1:13" customHeight="1" ht="17.25"/>
    <row r="92" spans="1:13" customHeight="1" ht="17.25"/>
    <row r="93" spans="1:13" customHeight="1" ht="17.25"/>
    <row r="94" spans="1:13" customHeight="1" ht="17.25"/>
    <row r="95" spans="1:13" customHeight="1" ht="17.25"/>
    <row r="96" spans="1:13" customHeight="1" ht="17.25"/>
    <row r="97" spans="1:13" customHeight="1" ht="17.25"/>
    <row r="98" spans="1:13" customHeight="1" ht="17.25"/>
    <row r="99" spans="1:13" customHeight="1" ht="17.25"/>
    <row r="100" spans="1:13" customHeight="1" ht="17.25"/>
    <row r="101" spans="1:13" customHeight="1" ht="17.25"/>
    <row r="102" spans="1:13" customHeight="1" ht="17.25"/>
    <row r="103" spans="1:13" customHeight="1" ht="17.25"/>
    <row r="104" spans="1:13" customHeight="1" ht="17.25"/>
    <row r="105" spans="1:13" customHeight="1" ht="17.25"/>
    <row r="106" spans="1:13" customHeight="1" ht="17.25"/>
    <row r="107" spans="1:13" customHeight="1" ht="17.25"/>
    <row r="108" spans="1:13" customHeight="1" ht="17.25"/>
    <row r="109" spans="1:13" customHeight="1" ht="17.25"/>
    <row r="110" spans="1:13" customHeight="1" ht="17.25"/>
    <row r="111" spans="1:13" customHeight="1" ht="17.25"/>
    <row r="112" spans="1:13" customHeight="1" ht="17.25"/>
    <row r="113" spans="1:13" customHeight="1" ht="17.25"/>
    <row r="114" spans="1:13" customHeight="1" ht="17.25"/>
    <row r="115" spans="1:13" customHeight="1" ht="17.25"/>
    <row r="116" spans="1:13" customHeight="1" ht="17.25"/>
    <row r="117" spans="1:13" customHeight="1" ht="17.25"/>
    <row r="118" spans="1:13" customHeight="1" ht="17.25"/>
    <row r="119" spans="1:13" customHeight="1" ht="17.25"/>
    <row r="120" spans="1:13" customHeight="1" ht="17.25"/>
    <row r="121" spans="1:13" customHeight="1" ht="17.25"/>
    <row r="122" spans="1:13" customHeight="1" ht="17.25"/>
    <row r="123" spans="1:13" customHeight="1" ht="17.25"/>
    <row r="124" spans="1:13" customHeight="1" ht="17.25"/>
    <row r="125" spans="1:13" customHeight="1" ht="17.25"/>
    <row r="126" spans="1:13" customHeight="1" ht="17.25"/>
    <row r="127" spans="1:13" customHeight="1" ht="17.25"/>
    <row r="128" spans="1:13" customHeight="1" ht="17.25"/>
    <row r="129" spans="1:13" customHeight="1" ht="17.25"/>
    <row r="130" spans="1:13" customHeight="1" ht="17.25"/>
    <row r="131" spans="1:13" customHeight="1" ht="17.25"/>
    <row r="132" spans="1:13" customHeight="1" ht="17.25"/>
    <row r="133" spans="1:13" customHeight="1" ht="17.25"/>
    <row r="134" spans="1:13" customHeight="1" ht="17.25"/>
    <row r="135" spans="1:13" customHeight="1" ht="17.25"/>
    <row r="136" spans="1:13" customHeight="1" ht="17.25"/>
    <row r="137" spans="1:13" customHeight="1" ht="17.25"/>
    <row r="138" spans="1:13" customHeight="1" ht="17.25"/>
    <row r="139" spans="1:13" customHeight="1" ht="17.25"/>
    <row r="140" spans="1:13" customHeight="1" ht="17.25"/>
    <row r="141" spans="1:13" customHeight="1" ht="17.25"/>
    <row r="142" spans="1:13" customHeight="1" ht="17.25"/>
    <row r="143" spans="1:13" customHeight="1" ht="17.25"/>
    <row r="144" spans="1:13" customHeight="1" ht="17.25"/>
    <row r="145" spans="1:13" customHeight="1" ht="17.25"/>
    <row r="146" spans="1:13" customHeight="1" ht="17.25"/>
    <row r="147" spans="1:13" customHeight="1" ht="17.25"/>
    <row r="148" spans="1:13" customHeight="1" ht="17.25"/>
    <row r="149" spans="1:13" customHeight="1" ht="17.25"/>
    <row r="150" spans="1:13" customHeight="1" ht="17.25"/>
    <row r="151" spans="1:13" customHeight="1" ht="17.25"/>
    <row r="152" spans="1:13" customHeight="1" ht="17.25"/>
    <row r="153" spans="1:13" customHeight="1" ht="17.25"/>
    <row r="154" spans="1:13" customHeight="1" ht="17.25"/>
    <row r="155" spans="1:13" customHeight="1" ht="17.25"/>
    <row r="156" spans="1:13" customHeight="1" ht="17.25"/>
    <row r="157" spans="1:13" customHeight="1" ht="17.25"/>
    <row r="158" spans="1:13" customHeight="1" ht="17.25"/>
    <row r="159" spans="1:13" customHeight="1" ht="17.25"/>
    <row r="160" spans="1:13" customHeight="1" ht="17.25"/>
    <row r="161" spans="1:13" customHeight="1" ht="17.25"/>
    <row r="162" spans="1:13" customHeight="1" ht="17.25"/>
    <row r="163" spans="1:13" customHeight="1" ht="17.25"/>
    <row r="164" spans="1:13" customHeight="1" ht="17.25"/>
    <row r="165" spans="1:13" customHeight="1" ht="17.25"/>
    <row r="166" spans="1:13" customHeight="1" ht="17.25"/>
    <row r="167" spans="1:13" customHeight="1" ht="17.25"/>
    <row r="168" spans="1:13" customHeight="1" ht="17.25"/>
    <row r="169" spans="1:13" customHeight="1" ht="17.25"/>
    <row r="170" spans="1:13" customHeight="1" ht="17.25"/>
    <row r="171" spans="1:13" customHeight="1" ht="17.25"/>
    <row r="172" spans="1:13" customHeight="1" ht="17.25"/>
    <row r="173" spans="1:13" customHeight="1" ht="17.25"/>
    <row r="174" spans="1:13" customHeight="1" ht="17.25"/>
    <row r="175" spans="1:13" customHeight="1" ht="17.25"/>
    <row r="176" spans="1:13" customHeight="1" ht="17.25"/>
    <row r="177" spans="1:13" customHeight="1" ht="17.25"/>
    <row r="178" spans="1:13" customHeight="1" ht="17.25"/>
    <row r="179" spans="1:13" customHeight="1" ht="17.25"/>
    <row r="180" spans="1:13" customHeight="1" ht="17.25"/>
    <row r="181" spans="1:13" customHeight="1" ht="17.25"/>
    <row r="182" spans="1:13" customHeight="1" ht="17.25"/>
    <row r="183" spans="1:13" customHeight="1" ht="17.25"/>
    <row r="184" spans="1:13" customHeight="1" ht="17.25"/>
    <row r="185" spans="1:13" customHeight="1" ht="17.25"/>
    <row r="186" spans="1:13" customHeight="1" ht="17.25"/>
    <row r="187" spans="1:13" customHeight="1" ht="17.25"/>
    <row r="188" spans="1:13" customHeight="1" ht="17.25"/>
    <row r="189" spans="1:13" customHeight="1" ht="17.25"/>
    <row r="190" spans="1:13" customHeight="1" ht="17.25"/>
    <row r="191" spans="1:13" customHeight="1" ht="17.25"/>
    <row r="192" spans="1:13" customHeight="1" ht="17.25"/>
    <row r="193" spans="1:13" customHeight="1" ht="17.25"/>
    <row r="194" spans="1:13" customHeight="1" ht="17.25"/>
    <row r="195" spans="1:13" customHeight="1" ht="17.25"/>
    <row r="196" spans="1:13" customHeight="1" ht="17.25"/>
    <row r="197" spans="1:13" customHeight="1" ht="17.25"/>
    <row r="198" spans="1:13" customHeight="1" ht="17.25"/>
    <row r="199" spans="1:13" customHeight="1" ht="17.25"/>
    <row r="200" spans="1:13" customHeight="1" ht="17.25"/>
    <row r="201" spans="1:13" customHeight="1" ht="17.25"/>
    <row r="202" spans="1:13" customHeight="1" ht="17.25"/>
    <row r="203" spans="1:13" customHeight="1" ht="17.25"/>
    <row r="204" spans="1:13" customHeight="1" ht="17.25"/>
    <row r="205" spans="1:13" customHeight="1" ht="17.25"/>
    <row r="206" spans="1:13" customHeight="1" ht="17.25"/>
    <row r="207" spans="1:13" customHeight="1" ht="17.25"/>
    <row r="208" spans="1:13" customHeight="1" ht="17.25"/>
    <row r="209" spans="1:13" customHeight="1" ht="17.25"/>
    <row r="210" spans="1:13" customHeight="1" ht="17.2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75:I75"/>
    <mergeCell ref="A73:E73"/>
    <mergeCell ref="G73:I73"/>
    <mergeCell ref="K73:L73"/>
    <mergeCell ref="A74:E74"/>
    <mergeCell ref="G74:I74"/>
    <mergeCell ref="A70:E70"/>
    <mergeCell ref="F70:I70"/>
    <mergeCell ref="J70:L70"/>
    <mergeCell ref="A71:E71"/>
    <mergeCell ref="F71:I71"/>
    <mergeCell ref="J71:L71"/>
    <mergeCell ref="A15:F15"/>
    <mergeCell ref="A66:C66"/>
    <mergeCell ref="K66:L66"/>
    <mergeCell ref="A69:E69"/>
    <mergeCell ref="F69:I69"/>
    <mergeCell ref="J69:L69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98"/>
  <sheetViews>
    <sheetView tabSelected="0" workbookViewId="0" showGridLines="false" showRowColHeaders="1">
      <selection activeCell="E8" sqref="E8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3.85546875" customWidth="true" style="9"/>
    <col min="6" max="6" width="12.140625" customWidth="true" style="9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9"/>
    <col min="12" max="12" width="16.7109375" customWidth="true" style="9"/>
    <col min="13" max="13" width="11.5703125" customWidth="true" style="0"/>
  </cols>
  <sheetData>
    <row r="1" spans="1:13" customHeight="1" ht="9.95" s="173" customFormat="1">
      <c r="A1" s="173" t="s">
        <v>0</v>
      </c>
      <c r="J1" s="174"/>
      <c r="L1" s="175"/>
    </row>
    <row r="2" spans="1:13" customHeight="1" ht="9.95" s="173" customFormat="1">
      <c r="A2" s="173" t="s">
        <v>1</v>
      </c>
      <c r="J2" s="174"/>
      <c r="L2" s="175"/>
    </row>
    <row r="3" spans="1:13" customHeight="1" ht="9.95" s="173" customFormat="1">
      <c r="A3" s="173" t="s">
        <v>2</v>
      </c>
      <c r="J3" s="174"/>
      <c r="L3" s="175"/>
    </row>
    <row r="4" spans="1:13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3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3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3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3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290</v>
      </c>
    </row>
    <row r="9" spans="1:13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13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3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3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3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3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3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3" customHeight="1" ht="17.1" s="4" customFormat="1">
      <c r="A16" s="15" t="s">
        <v>24</v>
      </c>
      <c r="B16" s="15"/>
      <c r="C16" s="9"/>
      <c r="D16" s="9"/>
      <c r="E16" s="9"/>
      <c r="F16" s="9"/>
      <c r="G16" s="661"/>
      <c r="H16" s="662"/>
      <c r="I16" s="662"/>
      <c r="J16" s="662"/>
      <c r="K16" s="662"/>
      <c r="L16" s="511"/>
    </row>
    <row r="17" spans="1:13" customHeight="1" ht="17.1" s="663" customFormat="1">
      <c r="A17" s="58" t="s">
        <v>25</v>
      </c>
      <c r="B17" s="58"/>
      <c r="C17" s="606"/>
      <c r="D17" s="606"/>
      <c r="E17" s="606"/>
      <c r="F17" s="606"/>
      <c r="G17" s="607"/>
      <c r="H17" s="608"/>
      <c r="I17" s="608"/>
      <c r="J17" s="608"/>
      <c r="K17" s="608"/>
      <c r="L17" s="610"/>
    </row>
    <row r="18" spans="1:13" customHeight="1" ht="17.1" s="2" customFormat="1">
      <c r="C18" s="9" t="s">
        <v>26</v>
      </c>
      <c r="D18" s="9"/>
      <c r="E18" s="9"/>
      <c r="F18" s="9"/>
      <c r="G18" s="213" t="s">
        <v>27</v>
      </c>
      <c r="H18" s="645">
        <v>6242893.5</v>
      </c>
      <c r="I18" s="645">
        <v>3090660.36</v>
      </c>
      <c r="J18" s="645">
        <f>K18-I18</f>
        <v>5594543.64</v>
      </c>
      <c r="K18" s="645">
        <v>8685204</v>
      </c>
      <c r="L18" s="615">
        <v>8950872</v>
      </c>
    </row>
    <row r="19" spans="1:13" customHeight="1" ht="17.1" s="2" customFormat="1">
      <c r="C19" s="9" t="s">
        <v>28</v>
      </c>
      <c r="D19" s="9"/>
      <c r="E19" s="9"/>
      <c r="F19" s="9"/>
      <c r="G19" s="213" t="s">
        <v>29</v>
      </c>
      <c r="H19" s="537">
        <v>481000</v>
      </c>
      <c r="I19" s="537">
        <v>228000</v>
      </c>
      <c r="J19" s="537">
        <f>K19-I19</f>
        <v>348000</v>
      </c>
      <c r="K19" s="537">
        <v>576000</v>
      </c>
      <c r="L19" s="533">
        <v>576000</v>
      </c>
    </row>
    <row r="20" spans="1:13" customHeight="1" ht="17.1" s="2" customFormat="1">
      <c r="C20" s="9" t="s">
        <v>30</v>
      </c>
      <c r="D20" s="9"/>
      <c r="E20" s="9"/>
      <c r="F20" s="9"/>
      <c r="G20" s="213" t="s">
        <v>31</v>
      </c>
      <c r="H20" s="537">
        <v>81000</v>
      </c>
      <c r="I20" s="537">
        <v>60750</v>
      </c>
      <c r="J20" s="537">
        <f>K20-I20</f>
        <v>74250</v>
      </c>
      <c r="K20" s="537">
        <v>135000</v>
      </c>
      <c r="L20" s="533">
        <v>135000</v>
      </c>
    </row>
    <row r="21" spans="1:13" customHeight="1" ht="17.1" s="2" customFormat="1">
      <c r="C21" s="9" t="s">
        <v>32</v>
      </c>
      <c r="D21" s="9"/>
      <c r="E21" s="9"/>
      <c r="F21" s="9"/>
      <c r="G21" s="213" t="s">
        <v>33</v>
      </c>
      <c r="H21" s="537">
        <v>81000</v>
      </c>
      <c r="I21" s="537">
        <v>60750</v>
      </c>
      <c r="J21" s="537">
        <f>K21-I21</f>
        <v>74250</v>
      </c>
      <c r="K21" s="537">
        <v>135000</v>
      </c>
      <c r="L21" s="533">
        <v>135000</v>
      </c>
    </row>
    <row r="22" spans="1:13" customHeight="1" ht="17.1" s="2" customFormat="1">
      <c r="C22" s="9" t="s">
        <v>34</v>
      </c>
      <c r="D22" s="9"/>
      <c r="E22" s="9"/>
      <c r="F22" s="9"/>
      <c r="G22" s="213" t="s">
        <v>35</v>
      </c>
      <c r="H22" s="537">
        <v>120000</v>
      </c>
      <c r="I22" s="537">
        <v>114000</v>
      </c>
      <c r="J22" s="537">
        <f>K22-I22</f>
        <v>30000</v>
      </c>
      <c r="K22" s="537">
        <v>144000</v>
      </c>
      <c r="L22" s="533">
        <v>144000</v>
      </c>
    </row>
    <row r="23" spans="1:13" customHeight="1" ht="17.1" s="2" customFormat="1">
      <c r="C23" s="9" t="s">
        <v>36</v>
      </c>
      <c r="D23" s="9"/>
      <c r="E23" s="9"/>
      <c r="F23" s="9"/>
      <c r="G23" s="213" t="s">
        <v>37</v>
      </c>
      <c r="H23" s="537">
        <v>864946.68</v>
      </c>
      <c r="I23" s="537">
        <v>358439.58</v>
      </c>
      <c r="J23" s="537">
        <f>K23-I23</f>
        <v>341560.42</v>
      </c>
      <c r="K23" s="537">
        <v>700000</v>
      </c>
      <c r="L23" s="533">
        <v>700000</v>
      </c>
    </row>
    <row r="24" spans="1:13" customHeight="1" ht="17.1" s="2" customFormat="1">
      <c r="C24" s="9" t="s">
        <v>38</v>
      </c>
      <c r="D24" s="9"/>
      <c r="E24" s="9"/>
      <c r="F24" s="9"/>
      <c r="G24" s="213" t="s">
        <v>39</v>
      </c>
      <c r="H24" s="537">
        <v>546618</v>
      </c>
      <c r="I24" s="537">
        <v>0</v>
      </c>
      <c r="J24" s="537">
        <f>K24-I24</f>
        <v>723767</v>
      </c>
      <c r="K24" s="537">
        <v>723767</v>
      </c>
      <c r="L24" s="533">
        <v>745906</v>
      </c>
    </row>
    <row r="25" spans="1:13" customHeight="1" ht="17.1" s="2" customFormat="1">
      <c r="C25" s="9" t="s">
        <v>40</v>
      </c>
      <c r="D25" s="9"/>
      <c r="E25" s="9"/>
      <c r="F25" s="9"/>
      <c r="G25" s="213" t="s">
        <v>41</v>
      </c>
      <c r="H25" s="537">
        <v>100000</v>
      </c>
      <c r="I25" s="537">
        <v>0</v>
      </c>
      <c r="J25" s="537">
        <f>K25-I25</f>
        <v>120000</v>
      </c>
      <c r="K25" s="537">
        <v>120000</v>
      </c>
      <c r="L25" s="533">
        <v>120000</v>
      </c>
    </row>
    <row r="26" spans="1:13" customHeight="1" ht="17.1" s="2" customFormat="1">
      <c r="C26" s="9" t="s">
        <v>42</v>
      </c>
      <c r="D26" s="664"/>
      <c r="E26" s="664"/>
      <c r="F26" s="664"/>
      <c r="G26" s="213" t="s">
        <v>43</v>
      </c>
      <c r="H26" s="537">
        <v>597093</v>
      </c>
      <c r="I26" s="537">
        <v>524070</v>
      </c>
      <c r="J26" s="537">
        <f>K26-I26</f>
        <v>319697</v>
      </c>
      <c r="K26" s="537">
        <v>843767</v>
      </c>
      <c r="L26" s="533">
        <f>SUM(F27:F28)</f>
        <v>865906</v>
      </c>
    </row>
    <row r="27" spans="1:13" customHeight="1" ht="17.1" s="2" customFormat="1">
      <c r="C27" s="29" t="s">
        <v>44</v>
      </c>
      <c r="D27" s="664"/>
      <c r="E27" s="664"/>
      <c r="F27" s="664">
        <f>L24</f>
        <v>745906</v>
      </c>
      <c r="G27" s="213"/>
      <c r="H27" s="537"/>
      <c r="I27" s="537"/>
      <c r="J27" s="537"/>
      <c r="K27" s="537"/>
      <c r="L27" s="533"/>
    </row>
    <row r="28" spans="1:13" customHeight="1" ht="17.1" s="2" customFormat="1">
      <c r="C28" s="29" t="s">
        <v>45</v>
      </c>
      <c r="D28" s="664"/>
      <c r="E28" s="664"/>
      <c r="F28" s="665">
        <v>120000</v>
      </c>
      <c r="G28" s="213"/>
      <c r="H28" s="537"/>
      <c r="I28" s="537"/>
      <c r="J28" s="537"/>
      <c r="K28" s="537"/>
      <c r="L28" s="533"/>
    </row>
    <row r="29" spans="1:13" customHeight="1" ht="17.1" s="2" customFormat="1">
      <c r="C29" s="9" t="s">
        <v>46</v>
      </c>
      <c r="D29" s="9"/>
      <c r="E29" s="9"/>
      <c r="F29" s="9"/>
      <c r="G29" s="213" t="s">
        <v>47</v>
      </c>
      <c r="H29" s="537">
        <v>749268.25</v>
      </c>
      <c r="I29" s="666">
        <v>370802.41</v>
      </c>
      <c r="J29" s="537">
        <f>K29-I29</f>
        <v>671422.07</v>
      </c>
      <c r="K29" s="537">
        <v>1042224.48</v>
      </c>
      <c r="L29" s="533">
        <v>1074104.64</v>
      </c>
    </row>
    <row r="30" spans="1:13" customHeight="1" ht="17.1" s="2" customFormat="1">
      <c r="C30" s="9" t="s">
        <v>48</v>
      </c>
      <c r="D30" s="9"/>
      <c r="E30" s="9"/>
      <c r="F30" s="9"/>
      <c r="G30" s="213" t="s">
        <v>49</v>
      </c>
      <c r="H30" s="537">
        <v>24100</v>
      </c>
      <c r="I30" s="666">
        <v>11400</v>
      </c>
      <c r="J30" s="537">
        <f>K30-I30</f>
        <v>17400</v>
      </c>
      <c r="K30" s="537">
        <v>28800</v>
      </c>
      <c r="L30" s="533">
        <v>28800</v>
      </c>
    </row>
    <row r="31" spans="1:13" customHeight="1" ht="17.1" s="2" customFormat="1">
      <c r="C31" s="9" t="s">
        <v>50</v>
      </c>
      <c r="D31" s="7"/>
      <c r="E31" s="7"/>
      <c r="F31" s="7"/>
      <c r="G31" s="213" t="s">
        <v>51</v>
      </c>
      <c r="H31" s="537">
        <v>91394.01</v>
      </c>
      <c r="I31" s="666">
        <v>44389.88</v>
      </c>
      <c r="J31" s="537">
        <f>K31-I31</f>
        <v>126744.04</v>
      </c>
      <c r="K31" s="537">
        <v>171133.92</v>
      </c>
      <c r="L31" s="533">
        <v>200740.95</v>
      </c>
    </row>
    <row r="32" spans="1:13" customHeight="1" ht="17.1" s="2" customFormat="1">
      <c r="C32" s="9" t="s">
        <v>52</v>
      </c>
      <c r="D32" s="7"/>
      <c r="E32" s="7"/>
      <c r="F32" s="7"/>
      <c r="G32" s="213" t="s">
        <v>53</v>
      </c>
      <c r="H32" s="537">
        <v>24100</v>
      </c>
      <c r="I32" s="537">
        <v>11400</v>
      </c>
      <c r="J32" s="537">
        <f>K32-I32</f>
        <v>17400</v>
      </c>
      <c r="K32" s="537">
        <v>28800</v>
      </c>
      <c r="L32" s="533">
        <v>28800</v>
      </c>
    </row>
    <row r="33" spans="1:13" customHeight="1" ht="17.1" s="2" customFormat="1">
      <c r="C33" s="9" t="s">
        <v>291</v>
      </c>
      <c r="D33" s="7"/>
      <c r="E33" s="7"/>
      <c r="F33" s="7"/>
      <c r="G33" s="213" t="s">
        <v>59</v>
      </c>
      <c r="H33" s="541">
        <v>500000</v>
      </c>
      <c r="I33" s="541">
        <v>0</v>
      </c>
      <c r="J33" s="541">
        <v>0</v>
      </c>
      <c r="K33" s="541">
        <v>0</v>
      </c>
      <c r="L33" s="557">
        <v>0</v>
      </c>
    </row>
    <row r="34" spans="1:13" customHeight="1" ht="17.1" s="668" customFormat="1">
      <c r="A34" s="543" t="s">
        <v>256</v>
      </c>
      <c r="B34" s="543"/>
      <c r="C34" s="621"/>
      <c r="D34" s="621"/>
      <c r="E34" s="621"/>
      <c r="F34" s="621"/>
      <c r="G34" s="622"/>
      <c r="H34" s="546">
        <f>SUM(H18:H33)</f>
        <v>10503413.44</v>
      </c>
      <c r="I34" s="546">
        <f>SUM(I18:I33)</f>
        <v>4874662.23</v>
      </c>
      <c r="J34" s="546">
        <f>SUM(J18:J33)</f>
        <v>8459034.17</v>
      </c>
      <c r="K34" s="546">
        <f>SUM(K18:K33)</f>
        <v>13333696.4</v>
      </c>
      <c r="L34" s="624">
        <f>SUM(L18:L33)</f>
        <v>13705129.59</v>
      </c>
      <c r="M34" s="667"/>
    </row>
    <row r="35" spans="1:13" customHeight="1" ht="15.95" s="668" customFormat="1">
      <c r="A35" s="6"/>
      <c r="B35" s="6"/>
      <c r="C35" s="273"/>
      <c r="D35" s="273"/>
      <c r="E35" s="273"/>
      <c r="F35" s="273"/>
      <c r="G35" s="253"/>
      <c r="H35" s="627"/>
      <c r="I35" s="627"/>
      <c r="J35" s="627"/>
      <c r="K35" s="627"/>
      <c r="L35" s="629"/>
      <c r="M35" s="667"/>
    </row>
    <row r="36" spans="1:13" customHeight="1" ht="16.5" s="11" customFormat="1">
      <c r="A36" s="59" t="s">
        <v>292</v>
      </c>
      <c r="B36" s="59"/>
      <c r="C36" s="631"/>
      <c r="D36" s="631"/>
      <c r="E36" s="631"/>
      <c r="F36" s="631"/>
      <c r="G36" s="213"/>
      <c r="H36" s="213"/>
      <c r="I36" s="213"/>
      <c r="J36" s="213"/>
      <c r="K36" s="213"/>
      <c r="L36" s="320"/>
    </row>
    <row r="37" spans="1:13" customHeight="1" ht="16.5" s="2" customFormat="1">
      <c r="C37" s="5" t="s">
        <v>63</v>
      </c>
      <c r="D37" s="9"/>
      <c r="E37" s="9"/>
      <c r="F37" s="9"/>
      <c r="G37" s="238" t="s">
        <v>64</v>
      </c>
      <c r="H37" s="669">
        <v>0</v>
      </c>
      <c r="I37" s="669">
        <v>49850</v>
      </c>
      <c r="J37" s="645">
        <f>K37-I37</f>
        <v>250150</v>
      </c>
      <c r="K37" s="669">
        <v>300000</v>
      </c>
      <c r="L37" s="670">
        <v>200000</v>
      </c>
    </row>
    <row r="38" spans="1:13" customHeight="1" ht="16.5" s="2" customFormat="1">
      <c r="C38" s="5" t="s">
        <v>72</v>
      </c>
      <c r="D38" s="9"/>
      <c r="E38" s="9"/>
      <c r="F38" s="9"/>
      <c r="G38" s="238" t="s">
        <v>73</v>
      </c>
      <c r="H38" s="616">
        <v>0</v>
      </c>
      <c r="I38" s="666">
        <v>24000</v>
      </c>
      <c r="J38" s="537">
        <f>K38-I38</f>
        <v>76000</v>
      </c>
      <c r="K38" s="537">
        <v>100000</v>
      </c>
      <c r="L38" s="533">
        <v>80000</v>
      </c>
    </row>
    <row r="39" spans="1:13" customHeight="1" ht="16.5" s="2" customFormat="1">
      <c r="C39" s="5" t="s">
        <v>234</v>
      </c>
      <c r="D39" s="9"/>
      <c r="E39" s="9"/>
      <c r="F39" s="9"/>
      <c r="G39" s="238" t="s">
        <v>77</v>
      </c>
      <c r="H39" s="666">
        <v>392893.1</v>
      </c>
      <c r="I39" s="666">
        <v>265140.25</v>
      </c>
      <c r="J39" s="537">
        <f>K39-I39</f>
        <v>434859.75</v>
      </c>
      <c r="K39" s="537">
        <v>700000</v>
      </c>
      <c r="L39" s="533">
        <v>600000</v>
      </c>
    </row>
    <row r="40" spans="1:13" customHeight="1" ht="16.5" s="2" customFormat="1">
      <c r="C40" s="5" t="s">
        <v>79</v>
      </c>
      <c r="D40" s="9"/>
      <c r="E40" s="9"/>
      <c r="F40" s="9"/>
      <c r="G40" s="238" t="s">
        <v>80</v>
      </c>
      <c r="H40" s="666">
        <v>142180</v>
      </c>
      <c r="I40" s="666">
        <v>55000</v>
      </c>
      <c r="J40" s="537">
        <f>K40-I40</f>
        <v>145000</v>
      </c>
      <c r="K40" s="537">
        <v>200000</v>
      </c>
      <c r="L40" s="533">
        <v>200000</v>
      </c>
    </row>
    <row r="41" spans="1:13" customHeight="1" ht="16.5" s="2" customFormat="1">
      <c r="C41" s="5" t="s">
        <v>262</v>
      </c>
      <c r="D41" s="9"/>
      <c r="E41" s="9"/>
      <c r="F41" s="9"/>
      <c r="G41" s="238" t="s">
        <v>94</v>
      </c>
      <c r="H41" s="537">
        <v>0</v>
      </c>
      <c r="I41" s="537">
        <v>0</v>
      </c>
      <c r="J41" s="537">
        <f>K41-I41</f>
        <v>5000</v>
      </c>
      <c r="K41" s="537">
        <v>5000</v>
      </c>
      <c r="L41" s="533">
        <v>5000</v>
      </c>
    </row>
    <row r="42" spans="1:13" customHeight="1" ht="16.5" s="2" customFormat="1">
      <c r="C42" s="5" t="s">
        <v>293</v>
      </c>
      <c r="D42" s="9"/>
      <c r="E42" s="9"/>
      <c r="F42" s="9"/>
      <c r="G42" s="238" t="s">
        <v>96</v>
      </c>
      <c r="H42" s="537">
        <v>58702.71</v>
      </c>
      <c r="I42" s="537">
        <v>27460.29</v>
      </c>
      <c r="J42" s="537">
        <f>K42-I42</f>
        <v>42539.71</v>
      </c>
      <c r="K42" s="537">
        <v>70000</v>
      </c>
      <c r="L42" s="533">
        <v>70000</v>
      </c>
    </row>
    <row r="43" spans="1:13" customHeight="1" ht="16.5" s="2" customFormat="1">
      <c r="C43" s="5" t="s">
        <v>97</v>
      </c>
      <c r="D43" s="9"/>
      <c r="E43" s="9"/>
      <c r="F43" s="9"/>
      <c r="G43" s="238" t="s">
        <v>98</v>
      </c>
      <c r="H43" s="537">
        <v>7276.9</v>
      </c>
      <c r="I43" s="537">
        <v>10066</v>
      </c>
      <c r="J43" s="537">
        <f>K43-I43</f>
        <v>9934</v>
      </c>
      <c r="K43" s="537">
        <v>20000</v>
      </c>
      <c r="L43" s="533">
        <v>20000</v>
      </c>
    </row>
    <row r="44" spans="1:13" customHeight="1" ht="16.5" s="2" customFormat="1">
      <c r="C44" s="5" t="s">
        <v>294</v>
      </c>
      <c r="D44" s="671"/>
      <c r="E44" s="671"/>
      <c r="F44" s="9"/>
      <c r="G44" s="213" t="s">
        <v>100</v>
      </c>
      <c r="H44" s="672">
        <v>27900</v>
      </c>
      <c r="I44" s="672">
        <v>0</v>
      </c>
      <c r="J44" s="537">
        <f>K44-I44</f>
        <v>100000</v>
      </c>
      <c r="K44" s="672">
        <v>100000</v>
      </c>
      <c r="L44" s="509">
        <v>75000</v>
      </c>
    </row>
    <row r="45" spans="1:13" customHeight="1" ht="16.5" s="2" customFormat="1">
      <c r="C45" s="42" t="s">
        <v>295</v>
      </c>
      <c r="D45" s="673"/>
      <c r="E45" s="673"/>
      <c r="F45" s="674"/>
      <c r="G45" s="238" t="s">
        <v>102</v>
      </c>
      <c r="H45" s="537">
        <v>37641.33</v>
      </c>
      <c r="I45" s="537">
        <v>12006.94</v>
      </c>
      <c r="J45" s="537">
        <f>K45-I45</f>
        <v>137993.06</v>
      </c>
      <c r="K45" s="537">
        <v>150000</v>
      </c>
      <c r="L45" s="533">
        <v>100000</v>
      </c>
    </row>
    <row r="46" spans="1:13" customHeight="1" ht="16.5" s="2" customFormat="1">
      <c r="C46" s="5" t="s">
        <v>265</v>
      </c>
      <c r="D46" s="9"/>
      <c r="E46" s="9"/>
      <c r="F46" s="9"/>
      <c r="G46" s="238" t="s">
        <v>123</v>
      </c>
      <c r="H46" s="537">
        <v>2729.06</v>
      </c>
      <c r="I46" s="537">
        <v>0</v>
      </c>
      <c r="J46" s="537">
        <f>K46-I46</f>
        <v>7000</v>
      </c>
      <c r="K46" s="537">
        <v>7000</v>
      </c>
      <c r="L46" s="533">
        <v>7000</v>
      </c>
    </row>
    <row r="47" spans="1:13" customHeight="1" ht="16.5" s="2" customFormat="1">
      <c r="C47" s="5" t="s">
        <v>124</v>
      </c>
      <c r="D47" s="9"/>
      <c r="E47" s="9"/>
      <c r="F47" s="9"/>
      <c r="G47" s="238" t="s">
        <v>125</v>
      </c>
      <c r="H47" s="537">
        <v>0</v>
      </c>
      <c r="I47" s="537">
        <v>21500</v>
      </c>
      <c r="J47" s="537">
        <f>K47-I47</f>
        <v>1000</v>
      </c>
      <c r="K47" s="537">
        <v>22500</v>
      </c>
      <c r="L47" s="533">
        <v>3500</v>
      </c>
    </row>
    <row r="48" spans="1:13" customHeight="1" ht="16.5" s="2" customFormat="1">
      <c r="C48" s="5" t="s">
        <v>142</v>
      </c>
      <c r="D48" s="9"/>
      <c r="E48" s="9"/>
      <c r="F48" s="9"/>
      <c r="G48" s="238" t="s">
        <v>143</v>
      </c>
      <c r="H48" s="537">
        <v>368565.54</v>
      </c>
      <c r="I48" s="537">
        <v>11000</v>
      </c>
      <c r="J48" s="537">
        <f>K48-I48</f>
        <v>470000</v>
      </c>
      <c r="K48" s="537">
        <v>481000</v>
      </c>
      <c r="L48" s="533">
        <v>400000</v>
      </c>
    </row>
    <row r="49" spans="1:13" customHeight="1" ht="16.5" s="2" customFormat="1">
      <c r="C49" s="5" t="s">
        <v>150</v>
      </c>
      <c r="D49" s="9"/>
      <c r="E49" s="9"/>
      <c r="F49" s="9"/>
      <c r="G49" s="238" t="s">
        <v>107</v>
      </c>
      <c r="H49" s="537">
        <v>2473486.16</v>
      </c>
      <c r="I49" s="537">
        <v>992007.14</v>
      </c>
      <c r="J49" s="537">
        <f>K49-I49</f>
        <v>1257992.86</v>
      </c>
      <c r="K49" s="537">
        <v>2250000</v>
      </c>
      <c r="L49" s="533">
        <v>2250000</v>
      </c>
    </row>
    <row r="50" spans="1:13" customHeight="1" ht="20.25" s="2" customFormat="1">
      <c r="C50" s="29" t="s">
        <v>296</v>
      </c>
      <c r="D50" s="9"/>
      <c r="E50" s="9"/>
      <c r="F50" s="9"/>
      <c r="G50" s="238"/>
      <c r="H50" s="541">
        <v>0</v>
      </c>
      <c r="I50" s="541">
        <v>0</v>
      </c>
      <c r="J50" s="541">
        <v>0</v>
      </c>
      <c r="K50" s="541">
        <v>0</v>
      </c>
      <c r="L50" s="557">
        <v>0</v>
      </c>
    </row>
    <row r="51" spans="1:13" customHeight="1" ht="20.25" s="678" customFormat="1">
      <c r="A51" s="18" t="s">
        <v>160</v>
      </c>
      <c r="B51" s="18"/>
      <c r="C51" s="675"/>
      <c r="D51" s="675"/>
      <c r="E51" s="675"/>
      <c r="F51" s="675"/>
      <c r="G51" s="219"/>
      <c r="H51" s="676">
        <f>SUM(H37:H50)</f>
        <v>3511374.8</v>
      </c>
      <c r="I51" s="676">
        <f>SUM(I37:I50)</f>
        <v>1468030.62</v>
      </c>
      <c r="J51" s="676">
        <f>SUM(J37:J50)</f>
        <v>2937469.38</v>
      </c>
      <c r="K51" s="676">
        <f>SUM(K37:K50)</f>
        <v>4405500</v>
      </c>
      <c r="L51" s="677">
        <f>SUM(L37:L50)</f>
        <v>4010500</v>
      </c>
    </row>
    <row r="52" spans="1:13" customHeight="1" ht="24" s="678" customFormat="1">
      <c r="A52" s="18" t="s">
        <v>161</v>
      </c>
      <c r="B52" s="18"/>
      <c r="C52" s="675"/>
      <c r="D52" s="675"/>
      <c r="E52" s="675"/>
      <c r="F52" s="675"/>
      <c r="G52" s="219"/>
      <c r="H52" s="676">
        <f>+H51+H34</f>
        <v>14014788.24</v>
      </c>
      <c r="I52" s="676">
        <f>I51+I34</f>
        <v>6342692.85</v>
      </c>
      <c r="J52" s="676">
        <f>J51+J34</f>
        <v>11396503.55</v>
      </c>
      <c r="K52" s="676">
        <f>+K51+K34</f>
        <v>17739196.4</v>
      </c>
      <c r="L52" s="677">
        <f>+L51+L34</f>
        <v>17715629.59</v>
      </c>
    </row>
    <row r="53" spans="1:13" customHeight="1" ht="15.95" s="678" customFormat="1">
      <c r="A53" s="263"/>
      <c r="B53" s="263"/>
      <c r="C53" s="679"/>
      <c r="D53" s="679"/>
      <c r="E53" s="679"/>
      <c r="F53" s="679"/>
      <c r="G53" s="264"/>
      <c r="H53" s="680"/>
      <c r="I53" s="680"/>
      <c r="J53" s="680"/>
      <c r="K53" s="680"/>
      <c r="L53" s="681"/>
    </row>
    <row r="54" spans="1:13" customHeight="1" ht="19.9" s="686" customFormat="1">
      <c r="A54" s="59" t="s">
        <v>162</v>
      </c>
      <c r="B54" s="59"/>
      <c r="C54" s="682"/>
      <c r="D54" s="682"/>
      <c r="E54" s="682"/>
      <c r="F54" s="682"/>
      <c r="G54" s="683"/>
      <c r="H54" s="684"/>
      <c r="I54" s="684"/>
      <c r="J54" s="684"/>
      <c r="K54" s="684"/>
      <c r="L54" s="685"/>
    </row>
    <row r="55" spans="1:13" customHeight="1" ht="6.75" s="686" customFormat="1">
      <c r="A55" s="20"/>
      <c r="B55" s="20"/>
      <c r="C55" s="682"/>
      <c r="D55" s="682"/>
      <c r="E55" s="682"/>
      <c r="F55" s="682"/>
      <c r="G55" s="683"/>
      <c r="H55" s="684"/>
      <c r="I55" s="684"/>
      <c r="J55" s="684"/>
      <c r="K55" s="684"/>
      <c r="L55" s="685"/>
    </row>
    <row r="56" spans="1:13" customHeight="1" ht="16.15" s="2" customFormat="1">
      <c r="C56" s="9" t="s">
        <v>163</v>
      </c>
      <c r="D56" s="9"/>
      <c r="E56" s="9"/>
      <c r="F56" s="9"/>
      <c r="G56" s="213" t="s">
        <v>164</v>
      </c>
      <c r="H56" s="669">
        <v>0</v>
      </c>
      <c r="I56" s="669">
        <v>18500</v>
      </c>
      <c r="J56" s="645">
        <f>K56-I56</f>
        <v>258500</v>
      </c>
      <c r="K56" s="669">
        <v>277000</v>
      </c>
      <c r="L56" s="670">
        <v>25000</v>
      </c>
    </row>
    <row r="57" spans="1:13" customHeight="1" ht="16.15" s="2" customFormat="1">
      <c r="C57" s="9" t="s">
        <v>248</v>
      </c>
      <c r="D57" s="9"/>
      <c r="E57" s="9"/>
      <c r="F57" s="9"/>
      <c r="G57" s="213" t="s">
        <v>167</v>
      </c>
      <c r="H57" s="537">
        <v>79000</v>
      </c>
      <c r="I57" s="537">
        <v>40700</v>
      </c>
      <c r="J57" s="537">
        <f>K57-I57</f>
        <v>1197400</v>
      </c>
      <c r="K57" s="537">
        <v>1238100</v>
      </c>
      <c r="L57" s="533">
        <v>25000</v>
      </c>
    </row>
    <row r="58" spans="1:13" customHeight="1" ht="17.1" s="2" customFormat="1">
      <c r="C58" s="9" t="s">
        <v>297</v>
      </c>
      <c r="D58" s="9"/>
      <c r="E58" s="9"/>
      <c r="F58" s="9"/>
      <c r="G58" s="213" t="s">
        <v>171</v>
      </c>
      <c r="H58" s="541">
        <v>0</v>
      </c>
      <c r="I58" s="687">
        <v>0</v>
      </c>
      <c r="J58" s="541">
        <f>K58-I58</f>
        <v>50000</v>
      </c>
      <c r="K58" s="541">
        <v>50000</v>
      </c>
      <c r="L58" s="557">
        <v>0</v>
      </c>
    </row>
    <row r="59" spans="1:13" customHeight="1" ht="7.5" s="2" customFormat="1">
      <c r="C59" s="9"/>
      <c r="D59" s="9"/>
      <c r="E59" s="9"/>
      <c r="F59" s="9"/>
      <c r="G59" s="213"/>
      <c r="H59" s="669"/>
      <c r="I59" s="669"/>
      <c r="J59" s="537"/>
      <c r="K59" s="669"/>
      <c r="L59" s="670"/>
    </row>
    <row r="60" spans="1:13" customHeight="1" ht="18" s="550" customFormat="1">
      <c r="A60" s="6" t="s">
        <v>172</v>
      </c>
      <c r="B60" s="6"/>
      <c r="C60" s="6"/>
      <c r="D60" s="6"/>
      <c r="E60" s="6"/>
      <c r="F60" s="6"/>
      <c r="G60" s="243"/>
      <c r="H60" s="627">
        <f>SUM(H56:H59)</f>
        <v>79000</v>
      </c>
      <c r="I60" s="627">
        <f>SUM(I56:I59)</f>
        <v>59200</v>
      </c>
      <c r="J60" s="627">
        <f>SUM(J56:J59)</f>
        <v>1505900</v>
      </c>
      <c r="K60" s="627">
        <f>SUM(K56:K59)</f>
        <v>1565100</v>
      </c>
      <c r="L60" s="629">
        <f>SUM(L56:L59)</f>
        <v>50000</v>
      </c>
    </row>
    <row r="61" spans="1:13" customHeight="1" ht="18" s="550" customFormat="1">
      <c r="A61" s="6"/>
      <c r="B61" s="6"/>
      <c r="C61" s="6"/>
      <c r="D61" s="6"/>
      <c r="E61" s="6"/>
      <c r="F61" s="6"/>
      <c r="G61" s="243"/>
      <c r="H61" s="627"/>
      <c r="I61" s="627"/>
      <c r="J61" s="627"/>
      <c r="K61" s="627"/>
      <c r="L61" s="629"/>
    </row>
    <row r="62" spans="1:13" customHeight="1" ht="12" s="550" customFormat="1">
      <c r="A62" s="6"/>
      <c r="B62" s="6"/>
      <c r="C62" s="6"/>
      <c r="D62" s="6"/>
      <c r="E62" s="6"/>
      <c r="F62" s="6"/>
      <c r="G62" s="243"/>
      <c r="H62" s="627"/>
      <c r="I62" s="627"/>
      <c r="J62" s="627"/>
      <c r="K62" s="627"/>
      <c r="L62" s="629"/>
    </row>
    <row r="63" spans="1:13" customHeight="1" ht="21.75" s="550" customFormat="1">
      <c r="A63" s="6" t="s">
        <v>252</v>
      </c>
      <c r="B63" s="6"/>
      <c r="C63" s="6"/>
      <c r="D63" s="6"/>
      <c r="E63" s="6"/>
      <c r="F63" s="6"/>
      <c r="G63" s="243"/>
      <c r="H63" s="656">
        <f>+H60+H52</f>
        <v>14093788.24</v>
      </c>
      <c r="I63" s="656">
        <f>I60+I52</f>
        <v>6401892.85</v>
      </c>
      <c r="J63" s="656">
        <f>J60+J52</f>
        <v>12902403.55</v>
      </c>
      <c r="K63" s="656">
        <f>+K60+K52</f>
        <v>19304296.4</v>
      </c>
      <c r="L63" s="688">
        <f>+L60+L52</f>
        <v>17765629.59</v>
      </c>
    </row>
    <row r="64" spans="1:13" customHeight="1" ht="16.5" s="550" customFormat="1">
      <c r="A64" s="543"/>
      <c r="B64" s="543"/>
      <c r="C64" s="543"/>
      <c r="D64" s="543"/>
      <c r="E64" s="543"/>
      <c r="F64" s="543"/>
      <c r="G64" s="545"/>
      <c r="H64" s="689"/>
      <c r="I64" s="689"/>
      <c r="J64" s="689"/>
      <c r="K64" s="689"/>
      <c r="L64" s="690"/>
    </row>
    <row r="65" spans="1:13" customHeight="1" ht="18" s="273" customFormat="1">
      <c r="A65" s="6"/>
      <c r="B65" s="6"/>
      <c r="G65" s="508"/>
      <c r="H65" s="508"/>
    </row>
    <row r="66" spans="1:13" customHeight="1" ht="18" s="9" customFormat="1">
      <c r="A66" s="9" t="s">
        <v>182</v>
      </c>
      <c r="I66" s="509"/>
      <c r="J66" s="509"/>
      <c r="K66" s="509"/>
      <c r="L66" s="509"/>
    </row>
    <row r="67" spans="1:13" customHeight="1" ht="18" s="9" customFormat="1">
      <c r="G67" s="510"/>
      <c r="H67" s="510"/>
      <c r="I67" s="510"/>
      <c r="J67" s="510"/>
      <c r="K67" s="510"/>
      <c r="L67" s="510"/>
    </row>
    <row r="68" spans="1:13" customHeight="1" ht="18" s="9" customFormat="1">
      <c r="A68" s="1493" t="s">
        <v>183</v>
      </c>
      <c r="B68" s="1493"/>
      <c r="C68" s="1493"/>
      <c r="D68" s="511"/>
      <c r="E68" s="511"/>
      <c r="F68" s="512" t="s">
        <v>184</v>
      </c>
      <c r="G68" s="509"/>
      <c r="H68" s="509"/>
      <c r="I68" s="509"/>
      <c r="J68" s="510" t="s">
        <v>185</v>
      </c>
      <c r="K68" s="1494"/>
      <c r="L68" s="1494"/>
    </row>
    <row r="69" spans="1:13" customHeight="1" ht="18" s="9" customFormat="1"/>
    <row r="70" spans="1:13" customHeight="1" ht="18" s="9" customFormat="1"/>
    <row r="71" spans="1:13" customHeight="1" ht="18" s="11" customFormat="1">
      <c r="A71" s="1489" t="s">
        <v>298</v>
      </c>
      <c r="B71" s="1489"/>
      <c r="C71" s="1489"/>
      <c r="D71" s="1489"/>
      <c r="E71" s="1489"/>
      <c r="F71" s="1489" t="s">
        <v>187</v>
      </c>
      <c r="G71" s="1489"/>
      <c r="H71" s="1489"/>
      <c r="I71" s="1489"/>
      <c r="J71" s="1489" t="s">
        <v>186</v>
      </c>
      <c r="K71" s="1489"/>
      <c r="L71" s="1489"/>
    </row>
    <row r="72" spans="1:13" customHeight="1" ht="12" s="11" customFormat="1">
      <c r="A72" s="1468" t="s">
        <v>299</v>
      </c>
      <c r="B72" s="1468"/>
      <c r="C72" s="1468"/>
      <c r="D72" s="1468"/>
      <c r="E72" s="1468"/>
      <c r="F72" s="1468" t="s">
        <v>189</v>
      </c>
      <c r="G72" s="1468"/>
      <c r="H72" s="1468"/>
      <c r="I72" s="1468"/>
      <c r="J72" s="1468" t="s">
        <v>188</v>
      </c>
      <c r="K72" s="1468"/>
      <c r="L72" s="1468"/>
    </row>
    <row r="73" spans="1:13" customHeight="1" ht="12" s="9" customFormat="1">
      <c r="A73" s="1468" t="s">
        <v>300</v>
      </c>
      <c r="B73" s="1468"/>
      <c r="C73" s="1468"/>
      <c r="D73" s="1468"/>
      <c r="E73" s="1468"/>
      <c r="F73" s="1468" t="s">
        <v>190</v>
      </c>
      <c r="G73" s="1468"/>
      <c r="H73" s="1468"/>
      <c r="I73" s="1468"/>
      <c r="J73" s="1468"/>
      <c r="K73" s="1468"/>
      <c r="L73" s="1468"/>
    </row>
    <row r="74" spans="1:13" customHeight="1" ht="22.15" s="2" customFormat="1">
      <c r="A74" s="9"/>
      <c r="B74" s="9"/>
      <c r="C74" s="9"/>
      <c r="D74" s="9"/>
      <c r="E74" s="9"/>
      <c r="F74" s="9"/>
      <c r="G74" s="320"/>
      <c r="H74" s="591"/>
      <c r="I74" s="591"/>
      <c r="J74" s="591"/>
      <c r="K74" s="591"/>
      <c r="L74" s="591"/>
    </row>
    <row r="75" spans="1:13" s="11" customFormat="1">
      <c r="G75" s="1497"/>
      <c r="H75" s="1497"/>
      <c r="I75" s="593"/>
      <c r="J75" s="593"/>
      <c r="K75" s="594"/>
      <c r="L75" s="593"/>
    </row>
    <row r="76" spans="1:13" customHeight="1" ht="16.9" s="2" customFormat="1">
      <c r="A76" s="7"/>
      <c r="B76" s="7"/>
      <c r="C76" s="9"/>
      <c r="D76" s="9"/>
      <c r="E76" s="9"/>
      <c r="F76" s="9"/>
      <c r="G76" s="320"/>
      <c r="H76" s="692"/>
      <c r="I76" s="692"/>
      <c r="J76" s="692"/>
      <c r="K76" s="692"/>
      <c r="L76" s="692"/>
    </row>
    <row r="77" spans="1:13" customHeight="1" ht="14.25" s="4" customFormat="1">
      <c r="A77" s="11"/>
      <c r="B77" s="11"/>
      <c r="C77" s="11"/>
      <c r="G77" s="594"/>
      <c r="H77" s="594"/>
      <c r="I77" s="594"/>
      <c r="J77" s="594"/>
      <c r="L77" s="594"/>
    </row>
    <row r="78" spans="1:13" customHeight="1" ht="18.6" s="11" customFormat="1">
      <c r="A78" s="7"/>
      <c r="B78" s="7"/>
      <c r="C78" s="7"/>
      <c r="D78" s="7"/>
      <c r="E78" s="7"/>
      <c r="F78" s="7"/>
      <c r="G78" s="7"/>
      <c r="H78" s="693"/>
      <c r="I78" s="693"/>
      <c r="J78" s="693"/>
      <c r="K78" s="577"/>
      <c r="L78" s="577"/>
    </row>
    <row r="79" spans="1:13" customHeight="1" ht="18.6" s="11" customFormat="1">
      <c r="A79" s="7"/>
      <c r="B79" s="7"/>
      <c r="C79" s="7"/>
      <c r="D79" s="7"/>
      <c r="E79" s="7"/>
      <c r="F79" s="7"/>
      <c r="G79" s="7"/>
      <c r="H79" s="577"/>
      <c r="I79" s="577"/>
      <c r="J79" s="577"/>
      <c r="K79" s="577"/>
      <c r="L79" s="577"/>
    </row>
    <row r="80" spans="1:13" customHeight="1" ht="15" s="694" customFormat="1">
      <c r="A80" s="1489"/>
      <c r="B80" s="1489"/>
      <c r="C80" s="1489"/>
      <c r="G80" s="1498"/>
      <c r="H80" s="1498"/>
      <c r="I80" s="695"/>
      <c r="J80" s="695"/>
      <c r="K80" s="1498"/>
      <c r="L80" s="1498"/>
    </row>
    <row r="81" spans="1:13" customHeight="1" ht="15.75" s="660" customFormat="1">
      <c r="A81" s="1495"/>
      <c r="B81" s="1495"/>
      <c r="C81" s="1495"/>
      <c r="G81" s="1495"/>
      <c r="H81" s="1495"/>
      <c r="I81" s="600"/>
      <c r="J81" s="600"/>
      <c r="K81" s="1495"/>
      <c r="L81" s="1495"/>
    </row>
    <row r="82" spans="1:13" customHeight="1" ht="15.75" s="660" customFormat="1">
      <c r="A82" s="391"/>
      <c r="B82" s="391"/>
      <c r="C82" s="391"/>
      <c r="G82" s="1495"/>
      <c r="H82" s="1495"/>
      <c r="I82" s="600"/>
      <c r="J82" s="600"/>
      <c r="K82" s="600"/>
      <c r="L82" s="600"/>
    </row>
    <row r="83" spans="1:13" customHeight="1" ht="17.25"/>
    <row r="84" spans="1:13" customHeight="1" ht="17.25"/>
    <row r="85" spans="1:13" customHeight="1" ht="17.25"/>
    <row r="86" spans="1:13" customHeight="1" ht="17.25"/>
    <row r="87" spans="1:13" customHeight="1" ht="17.25"/>
    <row r="88" spans="1:13" customHeight="1" ht="17.25"/>
    <row r="89" spans="1:13" customHeight="1" ht="17.25"/>
    <row r="90" spans="1:13" customHeight="1" ht="17.25"/>
    <row r="91" spans="1:13" customHeight="1" ht="17.25"/>
    <row r="92" spans="1:13" customHeight="1" ht="17.25"/>
    <row r="93" spans="1:13" customHeight="1" ht="17.25"/>
    <row r="94" spans="1:13" customHeight="1" ht="17.25"/>
    <row r="95" spans="1:13" customHeight="1" ht="17.25"/>
    <row r="96" spans="1:13" customHeight="1" ht="17.25"/>
    <row r="97" spans="1:13" customHeight="1" ht="17.25"/>
    <row r="98" spans="1:13" customHeight="1" ht="17.2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82:H82"/>
    <mergeCell ref="G75:H75"/>
    <mergeCell ref="A80:C80"/>
    <mergeCell ref="G80:H80"/>
    <mergeCell ref="K80:L80"/>
    <mergeCell ref="A81:C81"/>
    <mergeCell ref="G81:H81"/>
    <mergeCell ref="K81:L81"/>
    <mergeCell ref="A72:E72"/>
    <mergeCell ref="F72:I72"/>
    <mergeCell ref="J72:L72"/>
    <mergeCell ref="A73:E73"/>
    <mergeCell ref="F73:I73"/>
    <mergeCell ref="J73:L73"/>
    <mergeCell ref="A15:F15"/>
    <mergeCell ref="A68:C68"/>
    <mergeCell ref="K68:L68"/>
    <mergeCell ref="A71:E71"/>
    <mergeCell ref="F71:I71"/>
    <mergeCell ref="J71:L71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7"/>
  <sheetViews>
    <sheetView tabSelected="0" workbookViewId="0" zoomScale="120" view="pageBreakPreview" showGridLines="false" showRowColHeaders="1">
      <selection activeCell="M10" sqref="M10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2.7109375" customWidth="true" style="9"/>
    <col min="6" max="6" width="12.7109375" customWidth="true" style="9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11"/>
    <col min="12" max="12" width="16.7109375" customWidth="true" style="726"/>
    <col min="13" max="13" width="17.42578125" customWidth="true" style="0"/>
    <col min="14" max="14" width="9.140625" customWidth="true" style="0"/>
  </cols>
  <sheetData>
    <row r="1" spans="1:14" customHeight="1" ht="9.95" s="173" customFormat="1">
      <c r="A1" s="173" t="s">
        <v>0</v>
      </c>
      <c r="J1" s="174"/>
      <c r="L1" s="175"/>
    </row>
    <row r="2" spans="1:14" customHeight="1" ht="9.95" s="173" customFormat="1">
      <c r="A2" s="173" t="s">
        <v>1</v>
      </c>
      <c r="J2" s="174"/>
      <c r="L2" s="175"/>
    </row>
    <row r="3" spans="1:14" customHeight="1" ht="9.95" s="173" customFormat="1">
      <c r="A3" s="173" t="s">
        <v>2</v>
      </c>
      <c r="J3" s="174"/>
      <c r="L3" s="175"/>
    </row>
    <row r="4" spans="1:14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4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4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4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4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301</v>
      </c>
    </row>
    <row r="9" spans="1:14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14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4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4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4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4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4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4" customHeight="1" ht="15.95" s="701" customFormat="1">
      <c r="A16" s="696" t="s">
        <v>24</v>
      </c>
      <c r="B16" s="696"/>
      <c r="C16" s="15"/>
      <c r="D16" s="15"/>
      <c r="E16" s="15"/>
      <c r="F16" s="15"/>
      <c r="G16" s="697"/>
      <c r="H16" s="698"/>
      <c r="I16" s="698"/>
      <c r="J16" s="698"/>
      <c r="K16" s="699"/>
      <c r="L16" s="700"/>
    </row>
    <row r="17" spans="1:14" customHeight="1" ht="15.95" s="701" customFormat="1">
      <c r="A17" s="59" t="s">
        <v>25</v>
      </c>
      <c r="B17" s="59"/>
      <c r="C17" s="15"/>
      <c r="D17" s="15"/>
      <c r="E17" s="15"/>
      <c r="F17" s="15"/>
      <c r="G17" s="702"/>
      <c r="H17" s="703"/>
      <c r="I17" s="703"/>
      <c r="J17" s="703"/>
      <c r="K17" s="699"/>
      <c r="L17" s="700"/>
    </row>
    <row r="18" spans="1:14" customHeight="1" ht="15.95" s="9" customFormat="1">
      <c r="C18" s="9" t="s">
        <v>26</v>
      </c>
      <c r="G18" s="213" t="s">
        <v>27</v>
      </c>
      <c r="H18" s="645">
        <v>5266371.78</v>
      </c>
      <c r="I18" s="645">
        <v>2833776</v>
      </c>
      <c r="J18" s="645">
        <f>K18-I18</f>
        <v>4426032</v>
      </c>
      <c r="K18" s="645">
        <v>7259808</v>
      </c>
      <c r="L18" s="615">
        <v>7480596</v>
      </c>
    </row>
    <row r="19" spans="1:14" customHeight="1" ht="15.95" s="9" customFormat="1">
      <c r="C19" s="9" t="s">
        <v>28</v>
      </c>
      <c r="G19" s="213" t="s">
        <v>29</v>
      </c>
      <c r="H19" s="537">
        <v>289090.91</v>
      </c>
      <c r="I19" s="537">
        <v>156000</v>
      </c>
      <c r="J19" s="537">
        <f>K19-I19</f>
        <v>204000</v>
      </c>
      <c r="K19" s="537">
        <v>360000</v>
      </c>
      <c r="L19" s="533">
        <v>360000</v>
      </c>
    </row>
    <row r="20" spans="1:14" customHeight="1" ht="15.95" s="9" customFormat="1">
      <c r="C20" s="9" t="s">
        <v>30</v>
      </c>
      <c r="G20" s="213" t="s">
        <v>31</v>
      </c>
      <c r="H20" s="537">
        <v>134386.35</v>
      </c>
      <c r="I20" s="537">
        <v>67500</v>
      </c>
      <c r="J20" s="537">
        <f>K20-I20</f>
        <v>67500</v>
      </c>
      <c r="K20" s="537">
        <v>135000</v>
      </c>
      <c r="L20" s="533">
        <v>135000</v>
      </c>
    </row>
    <row r="21" spans="1:14" customHeight="1" ht="15.95" s="9" customFormat="1">
      <c r="C21" s="9" t="s">
        <v>32</v>
      </c>
      <c r="G21" s="213" t="s">
        <v>33</v>
      </c>
      <c r="H21" s="537">
        <v>134386.35</v>
      </c>
      <c r="I21" s="537">
        <v>67500</v>
      </c>
      <c r="J21" s="537">
        <f>K21-I21</f>
        <v>67500</v>
      </c>
      <c r="K21" s="537">
        <v>135000</v>
      </c>
      <c r="L21" s="533">
        <v>135000</v>
      </c>
    </row>
    <row r="22" spans="1:14" customHeight="1" ht="15.95" s="9" customFormat="1">
      <c r="C22" s="9" t="s">
        <v>34</v>
      </c>
      <c r="G22" s="213" t="s">
        <v>35</v>
      </c>
      <c r="H22" s="537">
        <v>72000</v>
      </c>
      <c r="I22" s="537">
        <v>78000</v>
      </c>
      <c r="J22" s="537">
        <f>K22-I22</f>
        <v>12000</v>
      </c>
      <c r="K22" s="537">
        <v>90000</v>
      </c>
      <c r="L22" s="533">
        <v>90000</v>
      </c>
    </row>
    <row r="23" spans="1:14" customHeight="1" ht="15.95" s="9" customFormat="1">
      <c r="C23" s="9" t="s">
        <v>36</v>
      </c>
      <c r="G23" s="213" t="s">
        <v>37</v>
      </c>
      <c r="H23" s="537">
        <v>11793.62</v>
      </c>
      <c r="I23" s="537">
        <v>0</v>
      </c>
      <c r="J23" s="537">
        <f>K23-I23</f>
        <v>400000</v>
      </c>
      <c r="K23" s="537">
        <v>400000</v>
      </c>
      <c r="L23" s="533">
        <v>400000</v>
      </c>
    </row>
    <row r="24" spans="1:14" customHeight="1" ht="15.95" s="9" customFormat="1">
      <c r="C24" s="9" t="s">
        <v>38</v>
      </c>
      <c r="G24" s="213" t="s">
        <v>39</v>
      </c>
      <c r="H24" s="537">
        <v>440549</v>
      </c>
      <c r="I24" s="537">
        <v>0</v>
      </c>
      <c r="J24" s="537">
        <f>K24-I24</f>
        <v>604984</v>
      </c>
      <c r="K24" s="537">
        <v>604984</v>
      </c>
      <c r="L24" s="533">
        <v>623383</v>
      </c>
    </row>
    <row r="25" spans="1:14" customHeight="1" ht="15.95" s="9" customFormat="1">
      <c r="C25" s="9" t="s">
        <v>40</v>
      </c>
      <c r="G25" s="213" t="s">
        <v>41</v>
      </c>
      <c r="H25" s="537">
        <v>60000</v>
      </c>
      <c r="I25" s="537">
        <v>0</v>
      </c>
      <c r="J25" s="537">
        <f>K25-I25</f>
        <v>75000</v>
      </c>
      <c r="K25" s="537">
        <v>75000</v>
      </c>
      <c r="L25" s="533">
        <v>75000</v>
      </c>
    </row>
    <row r="26" spans="1:14" customHeight="1" ht="15.95" s="9" customFormat="1">
      <c r="C26" s="9" t="s">
        <v>42</v>
      </c>
      <c r="D26" s="539"/>
      <c r="E26" s="539"/>
      <c r="F26" s="539"/>
      <c r="G26" s="213" t="s">
        <v>43</v>
      </c>
      <c r="H26" s="537">
        <v>500549</v>
      </c>
      <c r="I26" s="537">
        <v>472581</v>
      </c>
      <c r="J26" s="537">
        <f>K26-I26</f>
        <v>207403</v>
      </c>
      <c r="K26" s="537">
        <v>679984</v>
      </c>
      <c r="L26" s="533">
        <f>SUM(F27:F28)</f>
        <v>698383</v>
      </c>
    </row>
    <row r="27" spans="1:14" customHeight="1" ht="15.95" s="9" customFormat="1">
      <c r="C27" s="29" t="s">
        <v>44</v>
      </c>
      <c r="D27" s="539"/>
      <c r="E27" s="539"/>
      <c r="F27" s="539">
        <f>L24</f>
        <v>623383</v>
      </c>
      <c r="G27" s="213"/>
      <c r="H27" s="537"/>
      <c r="I27" s="537"/>
      <c r="J27" s="537"/>
      <c r="K27" s="537"/>
      <c r="L27" s="533"/>
    </row>
    <row r="28" spans="1:14" customHeight="1" ht="15.95" s="9" customFormat="1">
      <c r="C28" s="29" t="s">
        <v>45</v>
      </c>
      <c r="D28" s="539"/>
      <c r="E28" s="539"/>
      <c r="F28" s="618">
        <v>75000</v>
      </c>
      <c r="G28" s="213"/>
      <c r="H28" s="537"/>
      <c r="I28" s="537"/>
      <c r="J28" s="537"/>
      <c r="K28" s="537"/>
      <c r="L28" s="533"/>
    </row>
    <row r="29" spans="1:14" customHeight="1" ht="15.95" s="9" customFormat="1">
      <c r="C29" s="9" t="s">
        <v>282</v>
      </c>
      <c r="G29" s="213" t="s">
        <v>47</v>
      </c>
      <c r="H29" s="537">
        <v>632756.36</v>
      </c>
      <c r="I29" s="537">
        <v>340053.12</v>
      </c>
      <c r="J29" s="537">
        <f>K29-I29</f>
        <v>531123.84</v>
      </c>
      <c r="K29" s="537">
        <v>871176.96</v>
      </c>
      <c r="L29" s="533">
        <v>897671.52</v>
      </c>
    </row>
    <row r="30" spans="1:14" customHeight="1" ht="15.95" s="9" customFormat="1">
      <c r="C30" s="9" t="s">
        <v>48</v>
      </c>
      <c r="G30" s="213" t="s">
        <v>49</v>
      </c>
      <c r="H30" s="537">
        <v>14500</v>
      </c>
      <c r="I30" s="537">
        <v>7800</v>
      </c>
      <c r="J30" s="537">
        <f>K30-I30</f>
        <v>10200</v>
      </c>
      <c r="K30" s="537">
        <v>18000</v>
      </c>
      <c r="L30" s="533">
        <v>18000</v>
      </c>
    </row>
    <row r="31" spans="1:14" customHeight="1" ht="15.95" s="9" customFormat="1">
      <c r="C31" s="9" t="s">
        <v>50</v>
      </c>
      <c r="G31" s="213" t="s">
        <v>51</v>
      </c>
      <c r="H31" s="537">
        <v>72800.53</v>
      </c>
      <c r="I31" s="537">
        <v>38271.18</v>
      </c>
      <c r="J31" s="537">
        <f>K31-I31</f>
        <v>104354.82</v>
      </c>
      <c r="K31" s="537">
        <v>142626</v>
      </c>
      <c r="L31" s="533">
        <v>167659.74</v>
      </c>
    </row>
    <row r="32" spans="1:14" customHeight="1" ht="15.95" s="9" customFormat="1">
      <c r="C32" s="9" t="s">
        <v>302</v>
      </c>
      <c r="G32" s="213" t="s">
        <v>53</v>
      </c>
      <c r="H32" s="537">
        <v>14500</v>
      </c>
      <c r="I32" s="537">
        <v>7800</v>
      </c>
      <c r="J32" s="537">
        <f>K32-I32</f>
        <v>10200</v>
      </c>
      <c r="K32" s="537">
        <v>18000</v>
      </c>
      <c r="L32" s="533">
        <v>18000</v>
      </c>
    </row>
    <row r="33" spans="1:14" customHeight="1" ht="15.95" s="9" customFormat="1">
      <c r="C33" s="9" t="s">
        <v>303</v>
      </c>
      <c r="G33" s="213" t="s">
        <v>59</v>
      </c>
      <c r="H33" s="541">
        <v>300000</v>
      </c>
      <c r="I33" s="541">
        <v>0</v>
      </c>
      <c r="J33" s="541">
        <v>0</v>
      </c>
      <c r="K33" s="541">
        <v>0</v>
      </c>
      <c r="L33" s="557">
        <v>0</v>
      </c>
    </row>
    <row r="34" spans="1:14" customHeight="1" ht="15.95" s="652" customFormat="1">
      <c r="A34" s="543" t="s">
        <v>61</v>
      </c>
      <c r="B34" s="543"/>
      <c r="C34" s="543"/>
      <c r="D34" s="543"/>
      <c r="E34" s="543"/>
      <c r="F34" s="543"/>
      <c r="G34" s="545"/>
      <c r="H34" s="546">
        <f>SUM(H18:H33)</f>
        <v>7943683.9</v>
      </c>
      <c r="I34" s="546">
        <f>SUM(I18:I33)</f>
        <v>4069281.3</v>
      </c>
      <c r="J34" s="546">
        <f>SUM(J18:J33)</f>
        <v>6720297.66</v>
      </c>
      <c r="K34" s="546">
        <f>SUM(K18:K33)</f>
        <v>10789578.96</v>
      </c>
      <c r="L34" s="547">
        <f>SUM(L18:L33)</f>
        <v>11098693.26</v>
      </c>
      <c r="M34" s="704"/>
    </row>
    <row r="35" spans="1:14" customHeight="1" ht="18" s="652" customFormat="1">
      <c r="A35" s="6"/>
      <c r="B35" s="6"/>
      <c r="C35" s="6"/>
      <c r="D35" s="6"/>
      <c r="E35" s="6"/>
      <c r="F35" s="6"/>
      <c r="G35" s="705"/>
      <c r="H35" s="629"/>
      <c r="I35" s="629"/>
      <c r="J35" s="629"/>
      <c r="K35" s="629"/>
      <c r="L35" s="629"/>
      <c r="M35" s="704"/>
    </row>
    <row r="36" spans="1:14" customHeight="1" ht="20.25" s="708" customFormat="1">
      <c r="A36" s="706" t="s">
        <v>292</v>
      </c>
      <c r="B36" s="706"/>
      <c r="C36" s="15"/>
      <c r="D36" s="15"/>
      <c r="E36" s="15"/>
      <c r="F36" s="15"/>
      <c r="G36" s="213"/>
      <c r="H36" s="537"/>
      <c r="I36" s="537"/>
      <c r="J36" s="537"/>
      <c r="K36" s="551"/>
      <c r="L36" s="707"/>
    </row>
    <row r="37" spans="1:14" customHeight="1" ht="15" s="101" customFormat="1">
      <c r="C37" s="9" t="s">
        <v>63</v>
      </c>
      <c r="D37" s="9"/>
      <c r="E37" s="9"/>
      <c r="F37" s="9"/>
      <c r="G37" s="238" t="s">
        <v>64</v>
      </c>
      <c r="H37" s="709">
        <v>12000</v>
      </c>
      <c r="I37" s="709">
        <v>75000</v>
      </c>
      <c r="J37" s="645">
        <f>K37-I37</f>
        <v>225000</v>
      </c>
      <c r="K37" s="255">
        <v>300000</v>
      </c>
      <c r="L37" s="200">
        <v>200000</v>
      </c>
    </row>
    <row r="38" spans="1:14" customHeight="1" ht="15" s="101" customFormat="1">
      <c r="C38" s="9" t="s">
        <v>72</v>
      </c>
      <c r="D38" s="9"/>
      <c r="E38" s="9"/>
      <c r="F38" s="9"/>
      <c r="G38" s="238" t="s">
        <v>73</v>
      </c>
      <c r="H38" s="666">
        <v>8000</v>
      </c>
      <c r="I38" s="666">
        <v>42000</v>
      </c>
      <c r="J38" s="537">
        <f>K38-I38</f>
        <v>58000</v>
      </c>
      <c r="K38" s="537">
        <v>100000</v>
      </c>
      <c r="L38" s="533">
        <v>100000</v>
      </c>
    </row>
    <row r="39" spans="1:14" customHeight="1" ht="15" s="101" customFormat="1">
      <c r="C39" s="9" t="s">
        <v>76</v>
      </c>
      <c r="D39" s="9"/>
      <c r="E39" s="9"/>
      <c r="F39" s="9"/>
      <c r="G39" s="238" t="s">
        <v>77</v>
      </c>
      <c r="H39" s="666">
        <v>106435</v>
      </c>
      <c r="I39" s="666">
        <v>103781.4</v>
      </c>
      <c r="J39" s="537">
        <f>K39-I39</f>
        <v>196218.6</v>
      </c>
      <c r="K39" s="537">
        <v>300000</v>
      </c>
      <c r="L39" s="533">
        <v>280000</v>
      </c>
    </row>
    <row r="40" spans="1:14" customHeight="1" ht="15" s="101" customFormat="1">
      <c r="C40" s="9" t="s">
        <v>304</v>
      </c>
      <c r="D40" s="9"/>
      <c r="E40" s="9"/>
      <c r="F40" s="9"/>
      <c r="G40" s="238" t="s">
        <v>80</v>
      </c>
      <c r="H40" s="666">
        <v>100628</v>
      </c>
      <c r="I40" s="666">
        <v>48589</v>
      </c>
      <c r="J40" s="537">
        <f>K40-I40</f>
        <v>251411</v>
      </c>
      <c r="K40" s="537">
        <v>300000</v>
      </c>
      <c r="L40" s="533">
        <v>300000</v>
      </c>
    </row>
    <row r="41" spans="1:14" customHeight="1" ht="15" s="101" customFormat="1">
      <c r="C41" s="9" t="s">
        <v>81</v>
      </c>
      <c r="D41" s="9"/>
      <c r="E41" s="9"/>
      <c r="F41" s="9"/>
      <c r="G41" s="238" t="s">
        <v>82</v>
      </c>
      <c r="H41" s="666">
        <v>13225.4</v>
      </c>
      <c r="I41" s="616">
        <v>0</v>
      </c>
      <c r="J41" s="537">
        <f>K41-I41</f>
        <v>100000</v>
      </c>
      <c r="K41" s="537">
        <v>100000</v>
      </c>
      <c r="L41" s="533">
        <v>100000</v>
      </c>
    </row>
    <row r="42" spans="1:14" customHeight="1" ht="15" s="101" customFormat="1">
      <c r="C42" s="9" t="s">
        <v>93</v>
      </c>
      <c r="D42" s="9"/>
      <c r="E42" s="9"/>
      <c r="F42" s="9"/>
      <c r="G42" s="238" t="s">
        <v>94</v>
      </c>
      <c r="H42" s="537">
        <v>0</v>
      </c>
      <c r="I42" s="537">
        <v>0</v>
      </c>
      <c r="J42" s="537">
        <f>K42-I42</f>
        <v>1000</v>
      </c>
      <c r="K42" s="537">
        <v>1000</v>
      </c>
      <c r="L42" s="533">
        <v>1000</v>
      </c>
    </row>
    <row r="43" spans="1:14" customHeight="1" ht="15" s="101" customFormat="1">
      <c r="C43" s="9" t="s">
        <v>305</v>
      </c>
      <c r="D43" s="9"/>
      <c r="E43" s="9"/>
      <c r="F43" s="9"/>
      <c r="G43" s="238" t="s">
        <v>96</v>
      </c>
      <c r="H43" s="537">
        <v>106265.76</v>
      </c>
      <c r="I43" s="537">
        <v>42420.75</v>
      </c>
      <c r="J43" s="537">
        <f>K43-I43</f>
        <v>107579.25</v>
      </c>
      <c r="K43" s="537">
        <v>150000</v>
      </c>
      <c r="L43" s="533">
        <v>150000</v>
      </c>
    </row>
    <row r="44" spans="1:14" customHeight="1" ht="15" s="101" customFormat="1">
      <c r="C44" s="9" t="s">
        <v>97</v>
      </c>
      <c r="D44" s="9"/>
      <c r="E44" s="9"/>
      <c r="F44" s="9"/>
      <c r="G44" s="238" t="s">
        <v>98</v>
      </c>
      <c r="H44" s="537">
        <v>12000</v>
      </c>
      <c r="I44" s="537">
        <v>7500</v>
      </c>
      <c r="J44" s="537">
        <f>K44-I44</f>
        <v>7500</v>
      </c>
      <c r="K44" s="537">
        <v>15000</v>
      </c>
      <c r="L44" s="533">
        <v>15000</v>
      </c>
    </row>
    <row r="45" spans="1:14" customHeight="1" ht="15" s="101" customFormat="1">
      <c r="C45" s="9" t="s">
        <v>306</v>
      </c>
      <c r="D45" s="671"/>
      <c r="E45" s="671"/>
      <c r="F45" s="9"/>
      <c r="G45" s="238" t="s">
        <v>307</v>
      </c>
      <c r="H45" s="537">
        <v>20000</v>
      </c>
      <c r="I45" s="537">
        <v>0</v>
      </c>
      <c r="J45" s="537">
        <f>K45-I45</f>
        <v>100000</v>
      </c>
      <c r="K45" s="537">
        <v>100000</v>
      </c>
      <c r="L45" s="533">
        <v>100000</v>
      </c>
    </row>
    <row r="46" spans="1:14" customHeight="1" ht="15" s="101" customFormat="1">
      <c r="C46" s="9" t="s">
        <v>308</v>
      </c>
      <c r="D46" s="671"/>
      <c r="E46" s="671"/>
      <c r="F46" s="9"/>
      <c r="G46" s="213" t="s">
        <v>100</v>
      </c>
      <c r="H46" s="537">
        <v>0</v>
      </c>
      <c r="I46" s="537">
        <v>3300</v>
      </c>
      <c r="J46" s="537">
        <f>K46-I46</f>
        <v>26700</v>
      </c>
      <c r="K46" s="537">
        <v>30000</v>
      </c>
      <c r="L46" s="533">
        <v>30000</v>
      </c>
    </row>
    <row r="47" spans="1:14" customHeight="1" ht="15" s="101" customFormat="1">
      <c r="C47" s="9" t="s">
        <v>309</v>
      </c>
      <c r="D47" s="671"/>
      <c r="E47" s="9"/>
      <c r="F47" s="605"/>
      <c r="G47" s="238" t="s">
        <v>310</v>
      </c>
      <c r="H47" s="537">
        <v>37638.08</v>
      </c>
      <c r="I47" s="537">
        <v>120000</v>
      </c>
      <c r="J47" s="537">
        <f>K47-I47</f>
        <v>30000</v>
      </c>
      <c r="K47" s="537">
        <v>150000</v>
      </c>
      <c r="L47" s="533">
        <v>150000</v>
      </c>
    </row>
    <row r="48" spans="1:14" customHeight="1" ht="15" s="101" customFormat="1">
      <c r="C48" s="9" t="s">
        <v>239</v>
      </c>
      <c r="D48" s="9"/>
      <c r="E48" s="9"/>
      <c r="F48" s="9"/>
      <c r="G48" s="213" t="s">
        <v>123</v>
      </c>
      <c r="H48" s="537">
        <v>2000</v>
      </c>
      <c r="I48" s="537">
        <v>0</v>
      </c>
      <c r="J48" s="537">
        <f>K48-I48</f>
        <v>5000</v>
      </c>
      <c r="K48" s="537">
        <v>5000</v>
      </c>
      <c r="L48" s="533">
        <v>5000</v>
      </c>
    </row>
    <row r="49" spans="1:14" customHeight="1" ht="15" s="101" customFormat="1">
      <c r="C49" s="9" t="s">
        <v>240</v>
      </c>
      <c r="D49" s="9"/>
      <c r="E49" s="9"/>
      <c r="F49" s="9"/>
      <c r="G49" s="238" t="s">
        <v>125</v>
      </c>
      <c r="H49" s="537">
        <v>150</v>
      </c>
      <c r="I49" s="537">
        <v>0</v>
      </c>
      <c r="J49" s="537">
        <f>K49-I49</f>
        <v>10000</v>
      </c>
      <c r="K49" s="537">
        <v>10000</v>
      </c>
      <c r="L49" s="533">
        <v>10000</v>
      </c>
    </row>
    <row r="50" spans="1:14" customHeight="1" ht="18" s="101" customFormat="1">
      <c r="C50" s="9" t="s">
        <v>311</v>
      </c>
      <c r="D50" s="9"/>
      <c r="E50" s="9"/>
      <c r="F50" s="9"/>
      <c r="G50" s="238" t="s">
        <v>135</v>
      </c>
      <c r="H50" s="537">
        <v>2000</v>
      </c>
      <c r="I50" s="537">
        <v>2000</v>
      </c>
      <c r="J50" s="537">
        <f>K50-I50</f>
        <v>23000</v>
      </c>
      <c r="K50" s="537">
        <v>25000</v>
      </c>
      <c r="L50" s="533">
        <v>25000</v>
      </c>
    </row>
    <row r="51" spans="1:14" customHeight="1" ht="15" s="101" customFormat="1">
      <c r="C51" s="9" t="s">
        <v>203</v>
      </c>
      <c r="D51" s="9"/>
      <c r="E51" s="9"/>
      <c r="F51" s="9"/>
      <c r="G51" s="213" t="s">
        <v>143</v>
      </c>
      <c r="H51" s="537">
        <v>59440.06</v>
      </c>
      <c r="I51" s="537">
        <v>15000</v>
      </c>
      <c r="J51" s="537">
        <f>K51-I51</f>
        <v>335000</v>
      </c>
      <c r="K51" s="616">
        <v>350000</v>
      </c>
      <c r="L51" s="650">
        <v>300000</v>
      </c>
    </row>
    <row r="52" spans="1:14" customHeight="1" ht="15" s="101" customFormat="1">
      <c r="C52" s="5" t="s">
        <v>150</v>
      </c>
      <c r="D52" s="9"/>
      <c r="E52" s="9"/>
      <c r="F52" s="9"/>
      <c r="G52" s="213" t="s">
        <v>107</v>
      </c>
      <c r="H52" s="537">
        <v>613799.91</v>
      </c>
      <c r="I52" s="537">
        <v>192146.21</v>
      </c>
      <c r="J52" s="537">
        <f>K52-I52</f>
        <v>507853.79</v>
      </c>
      <c r="K52" s="616">
        <v>700000</v>
      </c>
      <c r="L52" s="650">
        <v>600000</v>
      </c>
    </row>
    <row r="53" spans="1:14" customHeight="1" ht="19.5" s="101" customFormat="1">
      <c r="C53" s="28" t="s">
        <v>312</v>
      </c>
      <c r="D53" s="9"/>
      <c r="E53" s="9"/>
      <c r="F53" s="9"/>
      <c r="G53" s="213"/>
      <c r="H53" s="541">
        <v>0</v>
      </c>
      <c r="I53" s="541">
        <v>0</v>
      </c>
      <c r="J53" s="541">
        <v>0</v>
      </c>
      <c r="K53" s="710">
        <v>0</v>
      </c>
      <c r="L53" s="711">
        <v>0</v>
      </c>
    </row>
    <row r="54" spans="1:14" customHeight="1" ht="19.5" s="550" customFormat="1">
      <c r="A54" s="6" t="s">
        <v>160</v>
      </c>
      <c r="B54" s="6"/>
      <c r="C54" s="6"/>
      <c r="D54" s="6"/>
      <c r="E54" s="6"/>
      <c r="F54" s="6"/>
      <c r="G54" s="712"/>
      <c r="H54" s="627">
        <f>SUM(H37:H53)</f>
        <v>1093582.21</v>
      </c>
      <c r="I54" s="627">
        <f>SUM(I37:I53)</f>
        <v>651737.36</v>
      </c>
      <c r="J54" s="627">
        <f>SUM(J37:J53)</f>
        <v>1984262.64</v>
      </c>
      <c r="K54" s="627">
        <f>SUM(K37:K53)</f>
        <v>2636000</v>
      </c>
      <c r="L54" s="713">
        <f>SUM(L37:L53)</f>
        <v>2366000</v>
      </c>
    </row>
    <row r="55" spans="1:14" customHeight="1" ht="19.5" s="550" customFormat="1">
      <c r="A55" s="543" t="s">
        <v>161</v>
      </c>
      <c r="B55" s="543"/>
      <c r="C55" s="543"/>
      <c r="D55" s="543"/>
      <c r="E55" s="543"/>
      <c r="F55" s="543"/>
      <c r="G55" s="714"/>
      <c r="H55" s="546">
        <f>+H54+H34</f>
        <v>9037266.11</v>
      </c>
      <c r="I55" s="546">
        <f>+I54+I34</f>
        <v>4721018.66</v>
      </c>
      <c r="J55" s="546">
        <f>+J54+J34</f>
        <v>8704560.3</v>
      </c>
      <c r="K55" s="546">
        <f>+K54+K34</f>
        <v>13425578.96</v>
      </c>
      <c r="L55" s="624">
        <f>+L54+L34</f>
        <v>13464693.26</v>
      </c>
    </row>
    <row r="56" spans="1:14" customHeight="1" ht="18" s="550" customFormat="1">
      <c r="A56" s="6"/>
      <c r="B56" s="6"/>
      <c r="C56" s="6"/>
      <c r="D56" s="6"/>
      <c r="E56" s="6"/>
      <c r="F56" s="6"/>
      <c r="G56" s="712"/>
      <c r="H56" s="627"/>
      <c r="I56" s="627"/>
      <c r="J56" s="627"/>
      <c r="K56" s="627"/>
      <c r="L56" s="629"/>
    </row>
    <row r="57" spans="1:14" customHeight="1" ht="19.5" s="550" customFormat="1">
      <c r="A57" s="706" t="s">
        <v>162</v>
      </c>
      <c r="B57" s="706"/>
      <c r="C57" s="6"/>
      <c r="D57" s="6"/>
      <c r="E57" s="6"/>
      <c r="F57" s="6"/>
      <c r="G57" s="712"/>
      <c r="H57" s="627"/>
      <c r="I57" s="627"/>
      <c r="J57" s="627"/>
      <c r="K57" s="627"/>
      <c r="L57" s="629"/>
    </row>
    <row r="58" spans="1:14" customHeight="1" ht="18.75" s="101" customFormat="1">
      <c r="A58" s="26"/>
      <c r="B58" s="26"/>
      <c r="C58" s="9" t="s">
        <v>163</v>
      </c>
      <c r="D58" s="9"/>
      <c r="E58" s="9"/>
      <c r="F58" s="9"/>
      <c r="G58" s="238" t="s">
        <v>164</v>
      </c>
      <c r="H58" s="645">
        <v>0</v>
      </c>
      <c r="I58" s="645">
        <v>0</v>
      </c>
      <c r="J58" s="645">
        <f>K58-I58</f>
        <v>50000</v>
      </c>
      <c r="K58" s="645">
        <v>50000</v>
      </c>
      <c r="L58" s="615">
        <v>25000</v>
      </c>
    </row>
    <row r="59" spans="1:14" customHeight="1" ht="19.5" s="101" customFormat="1">
      <c r="A59" s="26"/>
      <c r="B59" s="26"/>
      <c r="C59" s="9" t="s">
        <v>313</v>
      </c>
      <c r="D59" s="6"/>
      <c r="E59" s="6"/>
      <c r="F59" s="6"/>
      <c r="G59" s="238" t="s">
        <v>167</v>
      </c>
      <c r="H59" s="537">
        <v>45150</v>
      </c>
      <c r="I59" s="537">
        <v>115000</v>
      </c>
      <c r="J59" s="537">
        <f>K59-I59</f>
        <v>1445155.31</v>
      </c>
      <c r="K59" s="537">
        <v>1560155.31</v>
      </c>
      <c r="L59" s="533">
        <v>25000</v>
      </c>
    </row>
    <row r="60" spans="1:14" customHeight="1" ht="19.5" s="101" customFormat="1">
      <c r="A60" s="26"/>
      <c r="B60" s="26"/>
      <c r="C60" s="9" t="s">
        <v>210</v>
      </c>
      <c r="D60" s="6"/>
      <c r="E60" s="6"/>
      <c r="F60" s="6"/>
      <c r="G60" s="238" t="s">
        <v>314</v>
      </c>
      <c r="H60" s="541">
        <v>0</v>
      </c>
      <c r="I60" s="541">
        <v>0</v>
      </c>
      <c r="J60" s="541">
        <f>K60-I60</f>
        <v>50000</v>
      </c>
      <c r="K60" s="541">
        <v>50000</v>
      </c>
      <c r="L60" s="557">
        <v>0</v>
      </c>
    </row>
    <row r="61" spans="1:14" customHeight="1" ht="20.25" s="19" customFormat="1">
      <c r="A61" s="18" t="s">
        <v>172</v>
      </c>
      <c r="B61" s="18"/>
      <c r="C61" s="18"/>
      <c r="D61" s="18"/>
      <c r="E61" s="18"/>
      <c r="F61" s="18"/>
      <c r="G61" s="715"/>
      <c r="H61" s="716">
        <f>SUM(H58:H60)</f>
        <v>45150</v>
      </c>
      <c r="I61" s="716">
        <f>SUM(I58:I60)</f>
        <v>115000</v>
      </c>
      <c r="J61" s="716">
        <f>SUM(J58:J60)</f>
        <v>1545155.31</v>
      </c>
      <c r="K61" s="716">
        <f>SUM(K58:K60)</f>
        <v>1660155.31</v>
      </c>
      <c r="L61" s="717">
        <f>SUM(L58:L60)</f>
        <v>50000</v>
      </c>
    </row>
    <row r="62" spans="1:14" customHeight="1" ht="18" s="19" customFormat="1">
      <c r="A62" s="18"/>
      <c r="B62" s="18"/>
      <c r="C62" s="18"/>
      <c r="D62" s="18"/>
      <c r="E62" s="18"/>
      <c r="F62" s="18"/>
      <c r="G62" s="715"/>
      <c r="H62" s="718"/>
      <c r="I62" s="718"/>
      <c r="J62" s="718"/>
      <c r="K62" s="718"/>
      <c r="L62" s="719"/>
    </row>
    <row r="63" spans="1:14" customHeight="1" ht="17.1" s="550" customFormat="1">
      <c r="A63" s="6" t="s">
        <v>252</v>
      </c>
      <c r="B63" s="6"/>
      <c r="C63" s="6"/>
      <c r="D63" s="6"/>
      <c r="E63" s="6"/>
      <c r="F63" s="6"/>
      <c r="G63" s="243"/>
      <c r="H63" s="656">
        <f>+H61+H55</f>
        <v>9082416.11</v>
      </c>
      <c r="I63" s="656">
        <f>+I61+I55</f>
        <v>4836018.66</v>
      </c>
      <c r="J63" s="656">
        <f>+J61+J55</f>
        <v>10249715.61</v>
      </c>
      <c r="K63" s="656">
        <f>+K61+K55</f>
        <v>15085734.27</v>
      </c>
      <c r="L63" s="688">
        <f>+L61+L55</f>
        <v>13514693.26</v>
      </c>
    </row>
    <row r="64" spans="1:14" customHeight="1" ht="13.5" s="550" customFormat="1">
      <c r="A64" s="6"/>
      <c r="B64" s="6"/>
      <c r="C64" s="6"/>
      <c r="D64" s="6"/>
      <c r="E64" s="6"/>
      <c r="F64" s="6"/>
      <c r="G64" s="243"/>
      <c r="H64" s="656"/>
      <c r="I64" s="656"/>
      <c r="J64" s="656"/>
      <c r="K64" s="656"/>
      <c r="L64" s="688"/>
    </row>
    <row r="65" spans="1:14" customHeight="1" ht="15.95" s="11" customFormat="1">
      <c r="A65" s="73"/>
      <c r="B65" s="73"/>
      <c r="C65" s="73"/>
      <c r="D65" s="73"/>
      <c r="E65" s="73"/>
      <c r="F65" s="73"/>
      <c r="G65" s="572"/>
      <c r="H65" s="720"/>
      <c r="I65" s="720"/>
      <c r="J65" s="720"/>
      <c r="K65" s="720"/>
      <c r="L65" s="721"/>
    </row>
    <row r="66" spans="1:14" customHeight="1" ht="18" s="273" customFormat="1">
      <c r="A66" s="6"/>
      <c r="B66" s="6"/>
      <c r="G66" s="508"/>
      <c r="H66" s="508"/>
    </row>
    <row r="67" spans="1:14" customHeight="1" ht="18" s="9" customFormat="1">
      <c r="A67" s="9" t="s">
        <v>182</v>
      </c>
      <c r="I67" s="509"/>
      <c r="J67" s="509"/>
      <c r="K67" s="509"/>
      <c r="L67" s="509"/>
    </row>
    <row r="68" spans="1:14" customHeight="1" ht="18" s="9" customFormat="1">
      <c r="G68" s="510"/>
      <c r="H68" s="510"/>
      <c r="I68" s="510"/>
      <c r="J68" s="510"/>
      <c r="K68" s="510"/>
      <c r="L68" s="510"/>
    </row>
    <row r="69" spans="1:14" customHeight="1" ht="18" s="9" customFormat="1">
      <c r="A69" s="1493" t="s">
        <v>183</v>
      </c>
      <c r="B69" s="1493"/>
      <c r="C69" s="1493"/>
      <c r="D69" s="511"/>
      <c r="E69" s="511"/>
      <c r="F69" s="512" t="s">
        <v>184</v>
      </c>
      <c r="G69" s="509"/>
      <c r="H69" s="509"/>
      <c r="I69" s="509"/>
      <c r="J69" s="510" t="s">
        <v>185</v>
      </c>
      <c r="K69" s="1494"/>
      <c r="L69" s="1494"/>
    </row>
    <row r="70" spans="1:14" customHeight="1" ht="18" s="9" customFormat="1"/>
    <row r="71" spans="1:14" customHeight="1" ht="18" s="9" customFormat="1"/>
    <row r="72" spans="1:14" customHeight="1" ht="18" s="11" customFormat="1">
      <c r="A72" s="1489" t="s">
        <v>187</v>
      </c>
      <c r="B72" s="1489"/>
      <c r="C72" s="1489"/>
      <c r="D72" s="1489"/>
      <c r="E72" s="1489"/>
      <c r="F72" s="1489" t="s">
        <v>187</v>
      </c>
      <c r="G72" s="1489"/>
      <c r="H72" s="1489"/>
      <c r="I72" s="1489"/>
      <c r="J72" s="1489" t="s">
        <v>186</v>
      </c>
      <c r="K72" s="1489"/>
      <c r="L72" s="1489"/>
    </row>
    <row r="73" spans="1:14" customHeight="1" ht="12" s="11" customFormat="1">
      <c r="A73" s="1468" t="s">
        <v>189</v>
      </c>
      <c r="B73" s="1468"/>
      <c r="C73" s="1468"/>
      <c r="D73" s="1468"/>
      <c r="E73" s="1468"/>
      <c r="F73" s="1468" t="s">
        <v>189</v>
      </c>
      <c r="G73" s="1468"/>
      <c r="H73" s="1468"/>
      <c r="I73" s="1468"/>
      <c r="J73" s="1468" t="s">
        <v>188</v>
      </c>
      <c r="K73" s="1468"/>
      <c r="L73" s="1468"/>
    </row>
    <row r="74" spans="1:14" customHeight="1" ht="12" s="9" customFormat="1">
      <c r="A74" s="1468" t="s">
        <v>190</v>
      </c>
      <c r="B74" s="1468"/>
      <c r="C74" s="1468"/>
      <c r="D74" s="1468"/>
      <c r="E74" s="1468"/>
      <c r="F74" s="1468" t="s">
        <v>190</v>
      </c>
      <c r="G74" s="1468"/>
      <c r="H74" s="1468"/>
      <c r="I74" s="1468"/>
      <c r="J74" s="1468"/>
      <c r="K74" s="1468"/>
      <c r="L74" s="1468"/>
    </row>
    <row r="75" spans="1:14" customHeight="1" ht="15" s="724" customFormat="1">
      <c r="A75" s="7"/>
      <c r="B75" s="7"/>
      <c r="C75" s="7"/>
      <c r="D75" s="7"/>
      <c r="E75" s="7"/>
      <c r="F75" s="7"/>
      <c r="G75" s="722"/>
      <c r="H75" s="692"/>
      <c r="I75" s="692"/>
      <c r="J75" s="692"/>
      <c r="K75" s="692"/>
      <c r="L75" s="723"/>
    </row>
    <row r="76" spans="1:14" customHeight="1" ht="14.25" s="4" customFormat="1">
      <c r="A76" s="11"/>
      <c r="B76" s="11"/>
      <c r="C76" s="11"/>
      <c r="G76" s="593"/>
      <c r="H76" s="594"/>
      <c r="I76" s="594"/>
      <c r="J76" s="594"/>
      <c r="K76" s="594"/>
      <c r="L76" s="595"/>
    </row>
    <row r="77" spans="1:14" customHeight="1" ht="17.1">
      <c r="A77" s="7"/>
      <c r="B77" s="7"/>
      <c r="C77" s="7"/>
      <c r="D77" s="9"/>
      <c r="E77" s="9"/>
      <c r="F77" s="9"/>
      <c r="G77" s="7"/>
      <c r="H77" s="577"/>
      <c r="I77" s="577"/>
      <c r="J77" s="577"/>
      <c r="K77" s="597"/>
      <c r="L77" s="7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3:E73"/>
    <mergeCell ref="F73:I73"/>
    <mergeCell ref="J73:L73"/>
    <mergeCell ref="A74:E74"/>
    <mergeCell ref="F74:I74"/>
    <mergeCell ref="J74:L74"/>
    <mergeCell ref="A15:F15"/>
    <mergeCell ref="A69:C69"/>
    <mergeCell ref="K69:L69"/>
    <mergeCell ref="A72:E72"/>
    <mergeCell ref="F72:I72"/>
    <mergeCell ref="J72:L72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98"/>
  <sheetViews>
    <sheetView tabSelected="0" workbookViewId="0" view="pageBreakPreview" showGridLines="false" showRowColHeaders="1">
      <selection activeCell="R78" sqref="R78"/>
    </sheetView>
  </sheetViews>
  <sheetFormatPr defaultRowHeight="14.4" outlineLevelRow="0" outlineLevelCol="0"/>
  <cols>
    <col min="1" max="1" width="3.5703125" customWidth="true" style="11"/>
    <col min="2" max="2" width="3.5703125" customWidth="true" style="11"/>
    <col min="3" max="3" width="8.140625" customWidth="true" style="11"/>
    <col min="4" max="4" width="17" customWidth="true" style="11"/>
    <col min="5" max="5" width="12.5703125" customWidth="true" style="11"/>
    <col min="6" max="6" width="12.85546875" customWidth="true" style="768"/>
    <col min="7" max="7" width="12.7109375" customWidth="true" style="11"/>
    <col min="8" max="8" width="16.7109375" customWidth="true" style="11"/>
    <col min="9" max="9" width="16.7109375" customWidth="true" style="11"/>
    <col min="10" max="10" width="16.7109375" customWidth="true" style="11"/>
    <col min="11" max="11" width="16.7109375" customWidth="true" style="11"/>
    <col min="12" max="12" width="16.7109375" customWidth="true" style="598"/>
    <col min="13" max="13" width="13.5703125" customWidth="true" style="0"/>
    <col min="18" max="18" width="11" customWidth="true" style="0"/>
  </cols>
  <sheetData>
    <row r="1" spans="1:18" customHeight="1" ht="9.95" s="173" customFormat="1">
      <c r="A1" s="173" t="s">
        <v>0</v>
      </c>
      <c r="J1" s="174"/>
      <c r="L1" s="175"/>
    </row>
    <row r="2" spans="1:18" customHeight="1" ht="9.95" s="173" customFormat="1">
      <c r="A2" s="173" t="s">
        <v>1</v>
      </c>
      <c r="J2" s="174"/>
      <c r="L2" s="175"/>
    </row>
    <row r="3" spans="1:18" customHeight="1" ht="9.95" s="173" customFormat="1">
      <c r="A3" s="173" t="s">
        <v>2</v>
      </c>
      <c r="J3" s="174"/>
      <c r="L3" s="175"/>
    </row>
    <row r="4" spans="1:18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8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8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8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8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315</v>
      </c>
    </row>
    <row r="9" spans="1:18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78"/>
    </row>
    <row r="10" spans="1:18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8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8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8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8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8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8" customHeight="1" ht="17.1" s="730" customFormat="1">
      <c r="A16" s="15" t="s">
        <v>24</v>
      </c>
      <c r="B16" s="15"/>
      <c r="C16" s="15"/>
      <c r="D16" s="15"/>
      <c r="E16" s="15"/>
      <c r="F16" s="15"/>
      <c r="G16" s="727"/>
      <c r="H16" s="728"/>
      <c r="I16" s="728"/>
      <c r="J16" s="728"/>
      <c r="K16" s="729"/>
      <c r="L16" s="664"/>
    </row>
    <row r="17" spans="1:18" customHeight="1" ht="17.1" s="730" customFormat="1">
      <c r="A17" s="731" t="s">
        <v>316</v>
      </c>
      <c r="B17" s="731"/>
      <c r="C17" s="15"/>
      <c r="D17" s="15"/>
      <c r="E17" s="15"/>
      <c r="F17" s="15"/>
      <c r="G17" s="702"/>
      <c r="H17" s="703"/>
      <c r="I17" s="703"/>
      <c r="J17" s="703"/>
      <c r="K17" s="702"/>
      <c r="L17" s="664"/>
    </row>
    <row r="18" spans="1:18" customHeight="1" ht="17.1" s="9" customFormat="1">
      <c r="C18" s="9" t="s">
        <v>317</v>
      </c>
      <c r="F18" s="27"/>
      <c r="G18" s="213" t="s">
        <v>27</v>
      </c>
      <c r="H18" s="645">
        <v>7079851.64</v>
      </c>
      <c r="I18" s="645">
        <v>3699678.76</v>
      </c>
      <c r="J18" s="645">
        <f>K18-I18</f>
        <v>6452621.24</v>
      </c>
      <c r="K18" s="645">
        <v>10152300</v>
      </c>
      <c r="L18" s="615">
        <v>10502292</v>
      </c>
    </row>
    <row r="19" spans="1:18" customHeight="1" ht="17.1" s="9" customFormat="1">
      <c r="C19" s="9" t="s">
        <v>318</v>
      </c>
      <c r="F19" s="27"/>
      <c r="G19" s="213" t="s">
        <v>29</v>
      </c>
      <c r="H19" s="537">
        <v>422272.73</v>
      </c>
      <c r="I19" s="537">
        <v>206818.18</v>
      </c>
      <c r="J19" s="537">
        <f>K19-I19</f>
        <v>369181.82</v>
      </c>
      <c r="K19" s="537">
        <v>576000</v>
      </c>
      <c r="L19" s="533">
        <v>576000</v>
      </c>
    </row>
    <row r="20" spans="1:18" customHeight="1" ht="17.1" s="9" customFormat="1">
      <c r="C20" s="9" t="s">
        <v>30</v>
      </c>
      <c r="F20" s="27"/>
      <c r="G20" s="213" t="s">
        <v>31</v>
      </c>
      <c r="H20" s="537">
        <v>135000</v>
      </c>
      <c r="I20" s="537">
        <v>78750</v>
      </c>
      <c r="J20" s="537">
        <f>K20-I20</f>
        <v>56250</v>
      </c>
      <c r="K20" s="537">
        <v>135000</v>
      </c>
      <c r="L20" s="533">
        <v>135000</v>
      </c>
    </row>
    <row r="21" spans="1:18" customHeight="1" ht="17.1" s="9" customFormat="1">
      <c r="C21" s="9" t="s">
        <v>32</v>
      </c>
      <c r="F21" s="27"/>
      <c r="G21" s="213" t="s">
        <v>33</v>
      </c>
      <c r="H21" s="537">
        <v>135000</v>
      </c>
      <c r="I21" s="537">
        <v>78750</v>
      </c>
      <c r="J21" s="537">
        <f>K21-I21</f>
        <v>56250</v>
      </c>
      <c r="K21" s="537">
        <v>135000</v>
      </c>
      <c r="L21" s="533">
        <v>135000</v>
      </c>
    </row>
    <row r="22" spans="1:18" customHeight="1" ht="17.1" s="9" customFormat="1">
      <c r="C22" s="9" t="s">
        <v>34</v>
      </c>
      <c r="F22" s="27"/>
      <c r="G22" s="213" t="s">
        <v>35</v>
      </c>
      <c r="H22" s="537">
        <v>108000</v>
      </c>
      <c r="I22" s="537">
        <v>96000</v>
      </c>
      <c r="J22" s="537">
        <f>K22-I22</f>
        <v>48000</v>
      </c>
      <c r="K22" s="537">
        <v>144000</v>
      </c>
      <c r="L22" s="533">
        <v>144000</v>
      </c>
    </row>
    <row r="23" spans="1:18" customHeight="1" ht="17.1" s="9" customFormat="1">
      <c r="C23" s="9" t="s">
        <v>36</v>
      </c>
      <c r="F23" s="27"/>
      <c r="G23" s="213" t="s">
        <v>37</v>
      </c>
      <c r="H23" s="537">
        <v>38893.76</v>
      </c>
      <c r="I23" s="537">
        <v>41334.29</v>
      </c>
      <c r="J23" s="537">
        <f>K23-I23</f>
        <v>258665.71</v>
      </c>
      <c r="K23" s="537">
        <v>300000</v>
      </c>
      <c r="L23" s="533">
        <v>300000</v>
      </c>
    </row>
    <row r="24" spans="1:18" customHeight="1" ht="17.1" s="9" customFormat="1">
      <c r="C24" s="9" t="s">
        <v>38</v>
      </c>
      <c r="F24" s="27"/>
      <c r="G24" s="213" t="s">
        <v>39</v>
      </c>
      <c r="H24" s="537">
        <v>594717</v>
      </c>
      <c r="I24" s="537">
        <v>0</v>
      </c>
      <c r="J24" s="537">
        <f>K24-I24</f>
        <v>846025</v>
      </c>
      <c r="K24" s="537">
        <v>846025</v>
      </c>
      <c r="L24" s="533">
        <v>875191</v>
      </c>
    </row>
    <row r="25" spans="1:18" customHeight="1" ht="17.1" s="9" customFormat="1">
      <c r="C25" s="9" t="s">
        <v>40</v>
      </c>
      <c r="F25" s="27"/>
      <c r="G25" s="213" t="s">
        <v>41</v>
      </c>
      <c r="H25" s="537">
        <v>89750</v>
      </c>
      <c r="I25" s="537">
        <v>0</v>
      </c>
      <c r="J25" s="537">
        <f>K25-I25</f>
        <v>120000</v>
      </c>
      <c r="K25" s="537">
        <v>120000</v>
      </c>
      <c r="L25" s="533">
        <v>120000</v>
      </c>
    </row>
    <row r="26" spans="1:18" customHeight="1" ht="17.1" s="9" customFormat="1">
      <c r="C26" s="9" t="s">
        <v>42</v>
      </c>
      <c r="D26" s="539"/>
      <c r="E26" s="539"/>
      <c r="F26" s="539"/>
      <c r="G26" s="213" t="s">
        <v>43</v>
      </c>
      <c r="H26" s="537">
        <v>675132</v>
      </c>
      <c r="I26" s="537">
        <v>547796</v>
      </c>
      <c r="J26" s="537">
        <f>K26-I26</f>
        <v>418229</v>
      </c>
      <c r="K26" s="537">
        <v>966025</v>
      </c>
      <c r="L26" s="533">
        <f>SUM(F27:F28)</f>
        <v>995191</v>
      </c>
    </row>
    <row r="27" spans="1:18" customHeight="1" ht="17.1" s="9" customFormat="1">
      <c r="C27" s="29" t="s">
        <v>44</v>
      </c>
      <c r="D27" s="539"/>
      <c r="E27" s="539"/>
      <c r="F27" s="539">
        <f>L24</f>
        <v>875191</v>
      </c>
      <c r="G27" s="213"/>
      <c r="H27" s="537"/>
      <c r="I27" s="537"/>
      <c r="J27" s="537"/>
      <c r="K27" s="537"/>
      <c r="L27" s="533"/>
    </row>
    <row r="28" spans="1:18" customHeight="1" ht="17.1" s="9" customFormat="1">
      <c r="C28" s="29" t="s">
        <v>45</v>
      </c>
      <c r="D28" s="539"/>
      <c r="E28" s="539"/>
      <c r="F28" s="618">
        <v>120000</v>
      </c>
      <c r="G28" s="213"/>
      <c r="H28" s="537"/>
      <c r="I28" s="537"/>
      <c r="J28" s="537"/>
      <c r="K28" s="537"/>
      <c r="L28" s="533"/>
    </row>
    <row r="29" spans="1:18" customHeight="1" ht="17.1" s="9" customFormat="1">
      <c r="C29" s="9" t="s">
        <v>46</v>
      </c>
      <c r="F29" s="27"/>
      <c r="G29" s="213" t="s">
        <v>47</v>
      </c>
      <c r="H29" s="537">
        <v>852817.42</v>
      </c>
      <c r="I29" s="537">
        <v>443905.1</v>
      </c>
      <c r="J29" s="537">
        <f>K29-I29</f>
        <v>774370.9</v>
      </c>
      <c r="K29" s="537">
        <v>1218276</v>
      </c>
      <c r="L29" s="533">
        <v>1260275.04</v>
      </c>
    </row>
    <row r="30" spans="1:18" customHeight="1" ht="17.1" s="9" customFormat="1">
      <c r="C30" s="9" t="s">
        <v>48</v>
      </c>
      <c r="F30" s="27"/>
      <c r="G30" s="213" t="s">
        <v>49</v>
      </c>
      <c r="H30" s="537">
        <v>21200</v>
      </c>
      <c r="I30" s="537">
        <v>10500</v>
      </c>
      <c r="J30" s="537">
        <f>K30-I30</f>
        <v>18300</v>
      </c>
      <c r="K30" s="537">
        <v>28800</v>
      </c>
      <c r="L30" s="533">
        <v>28800</v>
      </c>
    </row>
    <row r="31" spans="1:18" customHeight="1" ht="17.1" s="9" customFormat="1">
      <c r="C31" s="9" t="s">
        <v>50</v>
      </c>
      <c r="F31" s="27"/>
      <c r="G31" s="213" t="s">
        <v>51</v>
      </c>
      <c r="H31" s="537">
        <v>99487.79</v>
      </c>
      <c r="I31" s="537">
        <v>52708.52</v>
      </c>
      <c r="J31" s="537">
        <f>K31-I31</f>
        <v>147767.32</v>
      </c>
      <c r="K31" s="537">
        <v>200475.84</v>
      </c>
      <c r="L31" s="533">
        <v>235647.9</v>
      </c>
    </row>
    <row r="32" spans="1:18" customHeight="1" ht="17.1" s="9" customFormat="1">
      <c r="C32" s="9" t="s">
        <v>52</v>
      </c>
      <c r="F32" s="27"/>
      <c r="G32" s="213" t="s">
        <v>53</v>
      </c>
      <c r="H32" s="537">
        <v>21118.36</v>
      </c>
      <c r="I32" s="537">
        <v>10350.87</v>
      </c>
      <c r="J32" s="537">
        <f>K32-I32</f>
        <v>18449.13</v>
      </c>
      <c r="K32" s="537">
        <v>28800</v>
      </c>
      <c r="L32" s="533">
        <v>28800</v>
      </c>
    </row>
    <row r="33" spans="1:18" customHeight="1" ht="17.1" s="9" customFormat="1">
      <c r="C33" s="9" t="s">
        <v>58</v>
      </c>
      <c r="F33" s="27"/>
      <c r="G33" s="213" t="s">
        <v>59</v>
      </c>
      <c r="H33" s="541">
        <v>447500</v>
      </c>
      <c r="I33" s="541">
        <v>0</v>
      </c>
      <c r="J33" s="541">
        <f>K33-I33</f>
        <v>0</v>
      </c>
      <c r="K33" s="541">
        <v>0</v>
      </c>
      <c r="L33" s="557">
        <v>0</v>
      </c>
    </row>
    <row r="34" spans="1:18" customHeight="1" ht="17.1" s="6" customFormat="1">
      <c r="A34" s="543" t="s">
        <v>256</v>
      </c>
      <c r="B34" s="543"/>
      <c r="C34" s="543"/>
      <c r="D34" s="543"/>
      <c r="E34" s="543"/>
      <c r="F34" s="732"/>
      <c r="G34" s="545"/>
      <c r="H34" s="546">
        <f>SUM(H18:H33)</f>
        <v>10720740.7</v>
      </c>
      <c r="I34" s="546">
        <f>SUM(I18:I33)</f>
        <v>5266591.72</v>
      </c>
      <c r="J34" s="546">
        <f>SUM(J18:J33)</f>
        <v>9584110.12</v>
      </c>
      <c r="K34" s="546">
        <f>SUM(K18:K33)</f>
        <v>14850701.84</v>
      </c>
      <c r="L34" s="624">
        <f>SUM(L18:L33)</f>
        <v>15336196.94</v>
      </c>
      <c r="M34" s="733"/>
    </row>
    <row r="35" spans="1:18" customHeight="1" ht="15.95" s="9" customFormat="1">
      <c r="A35" s="734" t="s">
        <v>319</v>
      </c>
      <c r="B35" s="734"/>
      <c r="C35" s="15"/>
      <c r="D35" s="15"/>
      <c r="E35" s="15"/>
      <c r="F35" s="15"/>
      <c r="G35" s="244"/>
      <c r="H35" s="244"/>
      <c r="I35" s="244"/>
      <c r="J35" s="244"/>
      <c r="K35" s="537"/>
      <c r="L35" s="533"/>
    </row>
    <row r="36" spans="1:18" customHeight="1" ht="15.95" s="9" customFormat="1">
      <c r="C36" s="9" t="s">
        <v>63</v>
      </c>
      <c r="F36" s="27"/>
      <c r="G36" s="238" t="s">
        <v>64</v>
      </c>
      <c r="H36" s="735">
        <v>14400</v>
      </c>
      <c r="I36" s="735">
        <f>16254+0</f>
        <v>16254</v>
      </c>
      <c r="J36" s="645">
        <f>K36-I36</f>
        <v>483746</v>
      </c>
      <c r="K36" s="735">
        <f>400000+100000</f>
        <v>500000</v>
      </c>
      <c r="L36" s="736">
        <f>SUM(F37:F38)</f>
        <v>350000</v>
      </c>
    </row>
    <row r="37" spans="1:18" customHeight="1" ht="15.95" s="9" customFormat="1">
      <c r="C37" s="29" t="s">
        <v>65</v>
      </c>
      <c r="F37" s="664">
        <v>250000</v>
      </c>
      <c r="G37" s="238"/>
      <c r="H37" s="735"/>
      <c r="I37" s="735"/>
      <c r="J37" s="537"/>
      <c r="K37" s="735"/>
      <c r="L37" s="736"/>
    </row>
    <row r="38" spans="1:18" customHeight="1" ht="15.95" s="9" customFormat="1">
      <c r="C38" s="29" t="s">
        <v>320</v>
      </c>
      <c r="F38" s="665">
        <v>100000</v>
      </c>
      <c r="G38" s="238"/>
      <c r="H38" s="735"/>
      <c r="I38" s="735"/>
      <c r="J38" s="735"/>
      <c r="K38" s="735"/>
      <c r="L38" s="736"/>
    </row>
    <row r="39" spans="1:18" customHeight="1" ht="15.95" s="9" customFormat="1">
      <c r="C39" s="9" t="s">
        <v>72</v>
      </c>
      <c r="F39" s="664"/>
      <c r="G39" s="238" t="s">
        <v>73</v>
      </c>
      <c r="H39" s="537">
        <v>0</v>
      </c>
      <c r="I39" s="537">
        <v>16000</v>
      </c>
      <c r="J39" s="537">
        <f>K39-I39</f>
        <v>99000</v>
      </c>
      <c r="K39" s="586">
        <v>115000</v>
      </c>
      <c r="L39" s="511">
        <v>80000</v>
      </c>
    </row>
    <row r="40" spans="1:18" customHeight="1" ht="15.95" s="9" customFormat="1">
      <c r="C40" s="9" t="s">
        <v>234</v>
      </c>
      <c r="F40" s="664"/>
      <c r="G40" s="238" t="s">
        <v>77</v>
      </c>
      <c r="H40" s="537">
        <f>239576.6+77134+4500</f>
        <v>321210.6</v>
      </c>
      <c r="I40" s="537">
        <f>80430+0+0</f>
        <v>80430</v>
      </c>
      <c r="J40" s="537">
        <f>K40-I40</f>
        <v>519570</v>
      </c>
      <c r="K40" s="586">
        <f>400000+100000+100000</f>
        <v>600000</v>
      </c>
      <c r="L40" s="511">
        <f>SUM(F41:F43)</f>
        <v>400000</v>
      </c>
    </row>
    <row r="41" spans="1:18" customHeight="1" ht="15.95" s="9" customFormat="1">
      <c r="C41" s="29" t="s">
        <v>65</v>
      </c>
      <c r="F41" s="664">
        <v>200000</v>
      </c>
      <c r="G41" s="238"/>
      <c r="H41" s="537"/>
      <c r="I41" s="537"/>
      <c r="J41" s="537"/>
      <c r="K41" s="586"/>
      <c r="L41" s="511"/>
    </row>
    <row r="42" spans="1:18" customHeight="1" ht="15.95" s="9" customFormat="1">
      <c r="C42" s="29" t="s">
        <v>321</v>
      </c>
      <c r="F42" s="664">
        <v>100000</v>
      </c>
      <c r="G42" s="238"/>
      <c r="H42" s="537"/>
      <c r="I42" s="537"/>
      <c r="J42" s="537"/>
      <c r="K42" s="586"/>
      <c r="L42" s="511"/>
    </row>
    <row r="43" spans="1:18" customHeight="1" ht="15.95" s="9" customFormat="1">
      <c r="C43" s="29" t="s">
        <v>320</v>
      </c>
      <c r="F43" s="665">
        <v>100000</v>
      </c>
      <c r="G43" s="238"/>
      <c r="H43" s="537"/>
      <c r="I43" s="537"/>
      <c r="J43" s="537"/>
      <c r="K43" s="586"/>
      <c r="L43" s="511"/>
    </row>
    <row r="44" spans="1:18" customHeight="1" ht="15.95" s="9" customFormat="1">
      <c r="C44" s="9" t="s">
        <v>235</v>
      </c>
      <c r="F44" s="664"/>
      <c r="G44" s="238" t="s">
        <v>80</v>
      </c>
      <c r="H44" s="537">
        <v>45910</v>
      </c>
      <c r="I44" s="537">
        <f>7748.5+0</f>
        <v>7748.5</v>
      </c>
      <c r="J44" s="537">
        <f>K44-I44</f>
        <v>492251.5</v>
      </c>
      <c r="K44" s="586">
        <f>400000+100000</f>
        <v>500000</v>
      </c>
      <c r="L44" s="511">
        <f>SUM(F45:F46)</f>
        <v>400000</v>
      </c>
    </row>
    <row r="45" spans="1:18" customHeight="1" ht="15.95" s="9" customFormat="1">
      <c r="C45" s="29" t="s">
        <v>65</v>
      </c>
      <c r="F45" s="664">
        <v>300000</v>
      </c>
      <c r="G45" s="238"/>
      <c r="H45" s="537"/>
      <c r="I45" s="537"/>
      <c r="J45" s="537"/>
      <c r="K45" s="586"/>
      <c r="L45" s="511"/>
    </row>
    <row r="46" spans="1:18" customHeight="1" ht="15.95" s="9" customFormat="1">
      <c r="C46" s="29" t="s">
        <v>320</v>
      </c>
      <c r="F46" s="665">
        <v>100000</v>
      </c>
      <c r="G46" s="238"/>
      <c r="H46" s="537"/>
      <c r="I46" s="537"/>
      <c r="J46" s="537"/>
      <c r="K46" s="586"/>
      <c r="L46" s="511"/>
    </row>
    <row r="47" spans="1:18" customHeight="1" ht="15.95" s="9" customFormat="1">
      <c r="C47" s="9" t="s">
        <v>93</v>
      </c>
      <c r="F47" s="27"/>
      <c r="G47" s="238" t="s">
        <v>94</v>
      </c>
      <c r="H47" s="537">
        <v>0</v>
      </c>
      <c r="I47" s="537">
        <v>0</v>
      </c>
      <c r="J47" s="537">
        <f>K47-I47</f>
        <v>1000</v>
      </c>
      <c r="K47" s="586">
        <v>1000</v>
      </c>
      <c r="L47" s="511">
        <v>1000</v>
      </c>
    </row>
    <row r="48" spans="1:18" customHeight="1" ht="15.95" s="9" customFormat="1">
      <c r="C48" s="9" t="s">
        <v>293</v>
      </c>
      <c r="F48" s="27"/>
      <c r="G48" s="238" t="s">
        <v>96</v>
      </c>
      <c r="H48" s="537">
        <v>99693.87</v>
      </c>
      <c r="I48" s="537">
        <v>37132.15</v>
      </c>
      <c r="J48" s="537">
        <f>K48-I48</f>
        <v>62867.85</v>
      </c>
      <c r="K48" s="586">
        <v>100000</v>
      </c>
      <c r="L48" s="511">
        <v>100000</v>
      </c>
    </row>
    <row r="49" spans="1:18" customHeight="1" ht="15.95" s="9" customFormat="1">
      <c r="C49" s="9" t="s">
        <v>97</v>
      </c>
      <c r="F49" s="27"/>
      <c r="G49" s="238" t="s">
        <v>98</v>
      </c>
      <c r="H49" s="537">
        <v>0</v>
      </c>
      <c r="I49" s="537">
        <v>0</v>
      </c>
      <c r="J49" s="537">
        <f>K49-I49</f>
        <v>600000</v>
      </c>
      <c r="K49" s="586">
        <v>600000</v>
      </c>
      <c r="L49" s="511">
        <f>SUM(F50)</f>
        <v>400000</v>
      </c>
    </row>
    <row r="50" spans="1:18" customHeight="1" ht="15.95" s="9" customFormat="1">
      <c r="C50" s="29" t="s">
        <v>321</v>
      </c>
      <c r="F50" s="665">
        <v>400000</v>
      </c>
      <c r="G50" s="238"/>
      <c r="H50" s="537"/>
      <c r="I50" s="537"/>
      <c r="J50" s="537"/>
      <c r="K50" s="586"/>
      <c r="L50" s="511"/>
    </row>
    <row r="51" spans="1:18" customHeight="1" ht="15.95" s="9" customFormat="1">
      <c r="C51" s="9" t="s">
        <v>322</v>
      </c>
      <c r="F51" s="664"/>
      <c r="G51" s="238" t="s">
        <v>100</v>
      </c>
      <c r="H51" s="537">
        <v>0</v>
      </c>
      <c r="I51" s="537">
        <v>11850</v>
      </c>
      <c r="J51" s="537">
        <f>K51-I51</f>
        <v>188150</v>
      </c>
      <c r="K51" s="586">
        <v>200000</v>
      </c>
      <c r="L51" s="511">
        <f>SUM(F52)</f>
        <v>150000</v>
      </c>
    </row>
    <row r="52" spans="1:18" customHeight="1" ht="15.95" s="9" customFormat="1">
      <c r="C52" s="29" t="s">
        <v>321</v>
      </c>
      <c r="F52" s="665">
        <v>150000</v>
      </c>
      <c r="G52" s="238"/>
      <c r="H52" s="541"/>
      <c r="I52" s="541"/>
      <c r="J52" s="541"/>
      <c r="K52" s="588"/>
      <c r="L52" s="651"/>
    </row>
    <row r="53" spans="1:18" customHeight="1" ht="15.95" s="9" customFormat="1">
      <c r="C53" s="9" t="s">
        <v>264</v>
      </c>
      <c r="F53" s="27"/>
      <c r="G53" s="238" t="s">
        <v>102</v>
      </c>
      <c r="H53" s="541">
        <v>56470.77</v>
      </c>
      <c r="I53" s="541">
        <v>38700</v>
      </c>
      <c r="J53" s="541">
        <f>K53-I53</f>
        <v>211300</v>
      </c>
      <c r="K53" s="588">
        <v>250000</v>
      </c>
      <c r="L53" s="651">
        <v>180000</v>
      </c>
    </row>
    <row r="54" spans="1:18" customHeight="1" ht="15.95" s="273" customFormat="1">
      <c r="A54" s="565" t="s">
        <v>233</v>
      </c>
      <c r="B54" s="565"/>
      <c r="C54" s="705"/>
      <c r="D54" s="705"/>
      <c r="E54" s="705"/>
      <c r="F54" s="737"/>
      <c r="G54" s="243"/>
      <c r="H54" s="738">
        <f>SUM(H36:H53)</f>
        <v>537685.24</v>
      </c>
      <c r="I54" s="738">
        <f>SUM(I36:I53)</f>
        <v>208114.65</v>
      </c>
      <c r="J54" s="738">
        <f>SUM(J36:J53)</f>
        <v>2657885.35</v>
      </c>
      <c r="K54" s="738">
        <f>SUM(K36:K53)</f>
        <v>2866000</v>
      </c>
      <c r="L54" s="739">
        <f>SUM(L36:L53)</f>
        <v>2061000</v>
      </c>
    </row>
    <row r="55" spans="1:18" customHeight="1" ht="15.95" s="9" customFormat="1">
      <c r="A55" s="73"/>
      <c r="B55" s="73"/>
      <c r="C55" s="570"/>
      <c r="D55" s="73"/>
      <c r="E55" s="73"/>
      <c r="F55" s="740"/>
      <c r="G55" s="572"/>
      <c r="H55" s="573"/>
      <c r="I55" s="573"/>
      <c r="J55" s="573"/>
      <c r="K55" s="741"/>
      <c r="L55" s="742"/>
    </row>
    <row r="56" spans="1:18" customHeight="1" ht="18" s="9" customFormat="1">
      <c r="A56" s="734" t="s">
        <v>319</v>
      </c>
      <c r="C56" s="29"/>
      <c r="F56" s="665"/>
      <c r="G56" s="238"/>
      <c r="H56" s="537"/>
      <c r="I56" s="537"/>
      <c r="J56" s="537"/>
      <c r="K56" s="586"/>
      <c r="L56" s="511"/>
    </row>
    <row r="57" spans="1:18" customHeight="1" ht="18" s="9" customFormat="1">
      <c r="C57" s="9" t="s">
        <v>323</v>
      </c>
      <c r="F57" s="27"/>
      <c r="G57" s="213" t="s">
        <v>123</v>
      </c>
      <c r="H57" s="537">
        <v>6446.24</v>
      </c>
      <c r="I57" s="537">
        <v>5258.12</v>
      </c>
      <c r="J57" s="537">
        <f>K57-I57</f>
        <v>19741.88</v>
      </c>
      <c r="K57" s="586">
        <v>25000</v>
      </c>
      <c r="L57" s="511">
        <v>25000</v>
      </c>
      <c r="R57" s="529"/>
    </row>
    <row r="58" spans="1:18" customHeight="1" ht="18" s="9" customFormat="1">
      <c r="C58" s="9" t="s">
        <v>241</v>
      </c>
      <c r="F58" s="27"/>
      <c r="G58" s="238" t="s">
        <v>242</v>
      </c>
      <c r="H58" s="537">
        <v>10000</v>
      </c>
      <c r="I58" s="537">
        <v>0</v>
      </c>
      <c r="J58" s="537">
        <f>K58-I58</f>
        <v>50000</v>
      </c>
      <c r="K58" s="586">
        <v>50000</v>
      </c>
      <c r="L58" s="511">
        <v>50000</v>
      </c>
    </row>
    <row r="59" spans="1:18" customHeight="1" ht="18" s="9" customFormat="1">
      <c r="C59" s="9" t="s">
        <v>324</v>
      </c>
      <c r="F59" s="665"/>
      <c r="G59" s="238"/>
      <c r="H59" s="537">
        <v>0</v>
      </c>
      <c r="I59" s="537">
        <v>0</v>
      </c>
      <c r="J59" s="537">
        <f>K59-I59</f>
        <v>200000</v>
      </c>
      <c r="K59" s="586">
        <v>200000</v>
      </c>
      <c r="L59" s="511">
        <v>200000</v>
      </c>
    </row>
    <row r="60" spans="1:18" customHeight="1" ht="18" s="9" customFormat="1">
      <c r="C60" s="29" t="s">
        <v>325</v>
      </c>
      <c r="F60" s="665"/>
      <c r="G60" s="238"/>
      <c r="H60" s="537"/>
      <c r="I60" s="537"/>
      <c r="J60" s="537"/>
      <c r="K60" s="586"/>
      <c r="L60" s="511"/>
    </row>
    <row r="61" spans="1:18" customHeight="1" ht="18" s="6" customFormat="1">
      <c r="C61" s="743" t="s">
        <v>326</v>
      </c>
      <c r="F61" s="744"/>
      <c r="G61" s="243"/>
      <c r="H61" s="645"/>
      <c r="I61" s="645"/>
      <c r="J61" s="645"/>
      <c r="K61" s="645"/>
      <c r="L61" s="615"/>
      <c r="M61" s="733"/>
    </row>
    <row r="62" spans="1:18" customHeight="1" ht="18" s="9" customFormat="1">
      <c r="C62" s="9" t="s">
        <v>327</v>
      </c>
      <c r="F62" s="27"/>
      <c r="G62" s="238" t="s">
        <v>143</v>
      </c>
      <c r="H62" s="537">
        <f>181962.03+8531.25</f>
        <v>190493.28</v>
      </c>
      <c r="I62" s="537">
        <f>49771+0+0</f>
        <v>49771</v>
      </c>
      <c r="J62" s="537">
        <f>K62-I62</f>
        <v>725229</v>
      </c>
      <c r="K62" s="586">
        <f>400000+300000+75000</f>
        <v>775000</v>
      </c>
      <c r="L62" s="511">
        <f>SUM(F63:F65)</f>
        <v>500000</v>
      </c>
    </row>
    <row r="63" spans="1:18" customHeight="1" ht="18" s="9" customFormat="1">
      <c r="C63" s="29" t="s">
        <v>65</v>
      </c>
      <c r="F63" s="664">
        <v>250000</v>
      </c>
      <c r="G63" s="238"/>
      <c r="H63" s="537"/>
      <c r="I63" s="537"/>
      <c r="J63" s="537"/>
      <c r="K63" s="586"/>
      <c r="L63" s="511"/>
    </row>
    <row r="64" spans="1:18" customHeight="1" ht="18" s="9" customFormat="1">
      <c r="C64" s="29" t="s">
        <v>321</v>
      </c>
      <c r="E64" s="28"/>
      <c r="F64" s="664">
        <v>200000</v>
      </c>
      <c r="G64" s="238"/>
      <c r="H64" s="537"/>
      <c r="I64" s="537"/>
      <c r="J64" s="537"/>
      <c r="K64" s="586"/>
      <c r="L64" s="511"/>
    </row>
    <row r="65" spans="1:18" customHeight="1" ht="18" s="9" customFormat="1">
      <c r="C65" s="29" t="s">
        <v>320</v>
      </c>
      <c r="F65" s="665">
        <v>50000</v>
      </c>
      <c r="G65" s="238"/>
      <c r="H65" s="537"/>
      <c r="I65" s="537"/>
      <c r="J65" s="537"/>
      <c r="K65" s="586"/>
      <c r="L65" s="511"/>
    </row>
    <row r="66" spans="1:18" customHeight="1" ht="18" s="9" customFormat="1">
      <c r="C66" s="5" t="s">
        <v>150</v>
      </c>
      <c r="F66" s="27"/>
      <c r="G66" s="238" t="s">
        <v>107</v>
      </c>
      <c r="H66" s="537">
        <f>855345.84+375685.01+52032.08</f>
        <v>1283062.93</v>
      </c>
      <c r="I66" s="537">
        <f>359390.11+172091.36+13497.09</f>
        <v>544978.56</v>
      </c>
      <c r="J66" s="537">
        <f>K66-I66</f>
        <v>2055021.44</v>
      </c>
      <c r="K66" s="586">
        <f>2000000+500000+100000</f>
        <v>2600000</v>
      </c>
      <c r="L66" s="511">
        <f>SUM(F68:F70)</f>
        <v>2000000</v>
      </c>
    </row>
    <row r="67" spans="1:18" customHeight="1" ht="18" s="9" customFormat="1">
      <c r="C67" s="28" t="s">
        <v>328</v>
      </c>
      <c r="F67" s="27"/>
      <c r="G67" s="238"/>
      <c r="H67" s="537"/>
      <c r="I67" s="537"/>
      <c r="J67" s="537"/>
      <c r="K67" s="586"/>
      <c r="L67" s="511"/>
    </row>
    <row r="68" spans="1:18" customHeight="1" ht="18" s="9" customFormat="1">
      <c r="C68" s="743" t="s">
        <v>329</v>
      </c>
      <c r="F68" s="664">
        <v>1500000</v>
      </c>
      <c r="G68" s="238"/>
      <c r="H68" s="537"/>
      <c r="I68" s="537"/>
      <c r="J68" s="537"/>
      <c r="K68" s="586"/>
      <c r="L68" s="511"/>
    </row>
    <row r="69" spans="1:18" customHeight="1" ht="18" s="9" customFormat="1">
      <c r="C69" s="28" t="s">
        <v>330</v>
      </c>
      <c r="F69" s="664">
        <v>400000</v>
      </c>
      <c r="G69" s="238"/>
      <c r="H69" s="537"/>
      <c r="I69" s="537"/>
      <c r="J69" s="537"/>
      <c r="K69" s="586"/>
      <c r="L69" s="511"/>
    </row>
    <row r="70" spans="1:18" customHeight="1" ht="18" s="9" customFormat="1">
      <c r="C70" s="28" t="s">
        <v>331</v>
      </c>
      <c r="F70" s="665">
        <v>100000</v>
      </c>
      <c r="G70" s="238"/>
      <c r="H70" s="541">
        <v>0</v>
      </c>
      <c r="I70" s="541">
        <v>0</v>
      </c>
      <c r="J70" s="541">
        <v>0</v>
      </c>
      <c r="K70" s="588">
        <v>0</v>
      </c>
      <c r="L70" s="651">
        <v>0</v>
      </c>
    </row>
    <row r="71" spans="1:18" customHeight="1" ht="18" s="9" customFormat="1">
      <c r="A71" s="565" t="s">
        <v>233</v>
      </c>
      <c r="C71" s="28"/>
      <c r="F71" s="665"/>
      <c r="G71" s="238"/>
      <c r="H71" s="653">
        <f>SUM(H57:H70)</f>
        <v>1490002.45</v>
      </c>
      <c r="I71" s="653">
        <f>SUM(I57:I70)</f>
        <v>600007.68</v>
      </c>
      <c r="J71" s="653">
        <f>SUM(J57:J70)</f>
        <v>3049992.32</v>
      </c>
      <c r="K71" s="653">
        <f>SUM(K57:K70)</f>
        <v>3650000</v>
      </c>
      <c r="L71" s="745">
        <f>SUM(L57:L70)</f>
        <v>2775000</v>
      </c>
    </row>
    <row r="72" spans="1:18" customHeight="1" ht="18" s="273" customFormat="1">
      <c r="A72" s="565" t="s">
        <v>160</v>
      </c>
      <c r="B72" s="565"/>
      <c r="C72" s="705"/>
      <c r="D72" s="705"/>
      <c r="E72" s="705"/>
      <c r="F72" s="737"/>
      <c r="G72" s="243"/>
      <c r="H72" s="746">
        <f>H71+H54</f>
        <v>2027687.69</v>
      </c>
      <c r="I72" s="746">
        <f>I71+I54</f>
        <v>808122.33</v>
      </c>
      <c r="J72" s="746">
        <f>J71+J54</f>
        <v>5707877.67</v>
      </c>
      <c r="K72" s="746">
        <f>K71+K54</f>
        <v>6516000</v>
      </c>
      <c r="L72" s="747">
        <f>L71+L54</f>
        <v>4836000</v>
      </c>
    </row>
    <row r="73" spans="1:18" customHeight="1" ht="18" s="6" customFormat="1">
      <c r="A73" s="543" t="s">
        <v>161</v>
      </c>
      <c r="B73" s="543"/>
      <c r="C73" s="543"/>
      <c r="D73" s="543"/>
      <c r="E73" s="543"/>
      <c r="F73" s="732"/>
      <c r="G73" s="714"/>
      <c r="H73" s="748">
        <f>+H72+H34</f>
        <v>12748428.39</v>
      </c>
      <c r="I73" s="748">
        <f>+I72+I34</f>
        <v>6074714.05</v>
      </c>
      <c r="J73" s="748">
        <f>+J72+J34</f>
        <v>15291987.79</v>
      </c>
      <c r="K73" s="748">
        <f>+K72+K34</f>
        <v>21366701.84</v>
      </c>
      <c r="L73" s="749">
        <f>+L72+L34</f>
        <v>20172196.94</v>
      </c>
    </row>
    <row r="74" spans="1:18" customHeight="1" ht="17.1" s="400" customFormat="1">
      <c r="A74" s="394"/>
      <c r="B74" s="394"/>
      <c r="C74" s="394"/>
      <c r="D74" s="394"/>
      <c r="E74" s="394"/>
      <c r="F74" s="750"/>
      <c r="G74" s="395"/>
      <c r="H74" s="395"/>
      <c r="I74" s="395"/>
      <c r="J74" s="395"/>
      <c r="K74" s="395"/>
      <c r="L74" s="396"/>
    </row>
    <row r="75" spans="1:18" customHeight="1" ht="17.1" s="754" customFormat="1">
      <c r="A75" s="59" t="s">
        <v>162</v>
      </c>
      <c r="B75" s="59"/>
      <c r="C75" s="751"/>
      <c r="D75" s="751"/>
      <c r="E75" s="751"/>
      <c r="F75" s="752"/>
      <c r="G75" s="753"/>
      <c r="H75" s="586"/>
      <c r="I75" s="586"/>
      <c r="J75" s="586"/>
      <c r="K75" s="537"/>
      <c r="L75" s="533"/>
    </row>
    <row r="76" spans="1:18" customHeight="1" ht="17.1" s="9" customFormat="1">
      <c r="C76" s="5" t="s">
        <v>163</v>
      </c>
      <c r="F76" s="27"/>
      <c r="G76" s="238" t="s">
        <v>164</v>
      </c>
      <c r="H76" s="616">
        <v>0</v>
      </c>
      <c r="I76" s="616">
        <v>0</v>
      </c>
      <c r="J76" s="537">
        <f>K76-I76</f>
        <v>115000</v>
      </c>
      <c r="K76" s="616">
        <v>115000</v>
      </c>
      <c r="L76" s="650">
        <v>25000</v>
      </c>
    </row>
    <row r="77" spans="1:18" customHeight="1" ht="17.1" s="9" customFormat="1">
      <c r="C77" s="9" t="s">
        <v>332</v>
      </c>
      <c r="F77" s="27"/>
      <c r="G77" s="213" t="s">
        <v>167</v>
      </c>
      <c r="H77" s="619">
        <v>0</v>
      </c>
      <c r="I77" s="619">
        <v>0</v>
      </c>
      <c r="J77" s="541">
        <f>K77-I77</f>
        <v>1853000</v>
      </c>
      <c r="K77" s="619">
        <v>1853000</v>
      </c>
      <c r="L77" s="755">
        <v>25000</v>
      </c>
    </row>
    <row r="78" spans="1:18" customHeight="1" ht="17.1" s="757" customFormat="1">
      <c r="A78" s="6" t="s">
        <v>172</v>
      </c>
      <c r="B78" s="6"/>
      <c r="C78" s="705"/>
      <c r="D78" s="705"/>
      <c r="E78" s="705"/>
      <c r="F78" s="737"/>
      <c r="G78" s="253"/>
      <c r="H78" s="567">
        <f>SUM(H76:H77)</f>
        <v>0</v>
      </c>
      <c r="I78" s="567">
        <f>SUM(I76:I77)</f>
        <v>0</v>
      </c>
      <c r="J78" s="567">
        <f>SUM(J76:J77)</f>
        <v>1968000</v>
      </c>
      <c r="K78" s="567">
        <f>SUM(K76:K77)</f>
        <v>1968000</v>
      </c>
      <c r="L78" s="756">
        <f>SUM(L76:L77)</f>
        <v>50000</v>
      </c>
    </row>
    <row r="79" spans="1:18" customHeight="1" ht="17.1" s="757" customFormat="1">
      <c r="A79" s="273"/>
      <c r="B79" s="273"/>
      <c r="C79" s="282"/>
      <c r="D79" s="282"/>
      <c r="E79" s="282"/>
      <c r="F79" s="758"/>
      <c r="G79" s="253"/>
      <c r="H79" s="759"/>
      <c r="I79" s="759"/>
      <c r="J79" s="759"/>
      <c r="K79" s="759"/>
      <c r="L79" s="760"/>
    </row>
    <row r="80" spans="1:18" customHeight="1" ht="17.1" s="757" customFormat="1">
      <c r="A80" s="273"/>
      <c r="B80" s="273"/>
      <c r="C80" s="282"/>
      <c r="D80" s="282"/>
      <c r="E80" s="282"/>
      <c r="F80" s="758"/>
      <c r="G80" s="253"/>
      <c r="H80" s="759"/>
      <c r="I80" s="759"/>
      <c r="J80" s="759"/>
      <c r="K80" s="759"/>
      <c r="L80" s="760"/>
    </row>
    <row r="81" spans="1:18" customHeight="1" ht="17.1" s="550" customFormat="1">
      <c r="A81" s="6" t="s">
        <v>252</v>
      </c>
      <c r="B81" s="6"/>
      <c r="C81" s="6"/>
      <c r="D81" s="6"/>
      <c r="E81" s="6"/>
      <c r="F81" s="744"/>
      <c r="G81" s="243"/>
      <c r="H81" s="584">
        <f>+H78+H73</f>
        <v>12748428.39</v>
      </c>
      <c r="I81" s="584">
        <f>+I78+I73</f>
        <v>6074714.05</v>
      </c>
      <c r="J81" s="584">
        <f>+J78+J73</f>
        <v>17259987.79</v>
      </c>
      <c r="K81" s="584">
        <f>+K78+K73</f>
        <v>23334701.84</v>
      </c>
      <c r="L81" s="761">
        <f>+L78+L73</f>
        <v>20222196.94</v>
      </c>
    </row>
    <row r="82" spans="1:18" customHeight="1" ht="17.1" s="550" customFormat="1">
      <c r="A82" s="543"/>
      <c r="B82" s="543"/>
      <c r="C82" s="543"/>
      <c r="D82" s="543"/>
      <c r="E82" s="543"/>
      <c r="F82" s="732"/>
      <c r="G82" s="545"/>
      <c r="H82" s="575"/>
      <c r="I82" s="575"/>
      <c r="J82" s="575"/>
      <c r="K82" s="575"/>
      <c r="L82" s="762"/>
    </row>
    <row r="83" spans="1:18" customHeight="1" ht="18" s="273" customFormat="1">
      <c r="A83" s="6"/>
      <c r="B83" s="6"/>
      <c r="G83" s="508"/>
      <c r="H83" s="508"/>
    </row>
    <row r="84" spans="1:18" customHeight="1" ht="18" s="9" customFormat="1">
      <c r="A84" s="9" t="s">
        <v>182</v>
      </c>
      <c r="I84" s="509"/>
      <c r="J84" s="509"/>
      <c r="K84" s="509"/>
      <c r="L84" s="509"/>
    </row>
    <row r="85" spans="1:18" customHeight="1" ht="18" s="9" customFormat="1">
      <c r="G85" s="510"/>
      <c r="H85" s="510"/>
      <c r="I85" s="510"/>
      <c r="J85" s="510"/>
      <c r="K85" s="510"/>
      <c r="L85" s="510"/>
    </row>
    <row r="86" spans="1:18" customHeight="1" ht="18" s="9" customFormat="1">
      <c r="A86" s="1493" t="s">
        <v>183</v>
      </c>
      <c r="B86" s="1493"/>
      <c r="C86" s="1493"/>
      <c r="D86" s="511"/>
      <c r="E86" s="511"/>
      <c r="F86" s="512" t="s">
        <v>184</v>
      </c>
      <c r="G86" s="509"/>
      <c r="H86" s="509"/>
      <c r="I86" s="509"/>
      <c r="J86" s="510" t="s">
        <v>185</v>
      </c>
      <c r="K86" s="1494"/>
      <c r="L86" s="1494"/>
    </row>
    <row r="87" spans="1:18" customHeight="1" ht="18" s="9" customFormat="1"/>
    <row r="88" spans="1:18" customHeight="1" ht="18" s="9" customFormat="1"/>
    <row r="89" spans="1:18" customHeight="1" ht="18" s="11" customFormat="1">
      <c r="A89" s="1489" t="s">
        <v>333</v>
      </c>
      <c r="B89" s="1489"/>
      <c r="C89" s="1489"/>
      <c r="D89" s="1489"/>
      <c r="E89" s="1489"/>
      <c r="F89" s="1489" t="s">
        <v>187</v>
      </c>
      <c r="G89" s="1489"/>
      <c r="H89" s="1489"/>
      <c r="I89" s="1489"/>
      <c r="J89" s="1489" t="s">
        <v>186</v>
      </c>
      <c r="K89" s="1489"/>
      <c r="L89" s="1489"/>
    </row>
    <row r="90" spans="1:18" customHeight="1" ht="12" s="11" customFormat="1">
      <c r="A90" s="1468" t="s">
        <v>189</v>
      </c>
      <c r="B90" s="1468"/>
      <c r="C90" s="1468"/>
      <c r="D90" s="1468"/>
      <c r="E90" s="1468"/>
      <c r="F90" s="1468" t="s">
        <v>189</v>
      </c>
      <c r="G90" s="1468"/>
      <c r="H90" s="1468"/>
      <c r="I90" s="1468"/>
      <c r="J90" s="1468" t="s">
        <v>188</v>
      </c>
      <c r="K90" s="1468"/>
      <c r="L90" s="1468"/>
    </row>
    <row r="91" spans="1:18" customHeight="1" ht="12" s="9" customFormat="1">
      <c r="A91" s="1468" t="s">
        <v>334</v>
      </c>
      <c r="B91" s="1468"/>
      <c r="C91" s="1468"/>
      <c r="D91" s="1468"/>
      <c r="E91" s="1468"/>
      <c r="F91" s="1468" t="s">
        <v>190</v>
      </c>
      <c r="G91" s="1468"/>
      <c r="H91" s="1468"/>
      <c r="I91" s="1468"/>
      <c r="J91" s="1468"/>
      <c r="K91" s="1468"/>
      <c r="L91" s="1468"/>
    </row>
    <row r="92" spans="1:18" customHeight="1" ht="18" s="9" customFormat="1"/>
    <row r="93" spans="1:18" customHeight="1" ht="18" s="9" customFormat="1"/>
    <row r="94" spans="1:18" customHeight="1" ht="15" s="626" customFormat="1">
      <c r="A94" s="763"/>
      <c r="B94" s="763"/>
      <c r="C94" s="282"/>
      <c r="D94" s="282"/>
      <c r="E94" s="282"/>
      <c r="F94" s="758"/>
      <c r="G94" s="282"/>
      <c r="H94" s="764"/>
      <c r="I94" s="764"/>
      <c r="J94" s="764"/>
      <c r="K94" s="764"/>
      <c r="L94" s="764"/>
    </row>
    <row r="95" spans="1:18" customHeight="1" ht="15" s="626" customFormat="1">
      <c r="A95" s="763"/>
      <c r="B95" s="763"/>
      <c r="C95" s="282"/>
      <c r="D95" s="282"/>
      <c r="E95" s="282"/>
      <c r="F95" s="758"/>
      <c r="G95" s="282"/>
      <c r="H95" s="764"/>
      <c r="I95" s="764"/>
      <c r="J95" s="764"/>
      <c r="K95" s="764"/>
      <c r="L95" s="764"/>
    </row>
    <row r="96" spans="1:18" customHeight="1" ht="13.5" s="4" customFormat="1">
      <c r="A96" s="11"/>
      <c r="B96" s="11"/>
      <c r="C96" s="11"/>
      <c r="F96" s="390"/>
      <c r="G96" s="593"/>
      <c r="H96" s="594"/>
      <c r="I96" s="594"/>
      <c r="J96" s="594"/>
      <c r="K96" s="765"/>
      <c r="L96" s="593"/>
    </row>
    <row r="97" spans="1:18" customHeight="1" ht="14.25" s="273" customFormat="1">
      <c r="F97" s="766"/>
      <c r="G97" s="282"/>
      <c r="H97" s="767"/>
      <c r="I97" s="767"/>
      <c r="J97" s="767"/>
      <c r="K97" s="767"/>
      <c r="L97" s="767"/>
    </row>
    <row r="98" spans="1:18" customHeight="1" ht="14.25" s="273" customFormat="1">
      <c r="F98" s="766"/>
      <c r="G98" s="282"/>
      <c r="H98" s="767"/>
      <c r="I98" s="767"/>
      <c r="J98" s="767"/>
      <c r="K98" s="767"/>
      <c r="L98" s="76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0:E90"/>
    <mergeCell ref="F90:I90"/>
    <mergeCell ref="J90:L90"/>
    <mergeCell ref="A91:E91"/>
    <mergeCell ref="F91:I91"/>
    <mergeCell ref="J91:L91"/>
    <mergeCell ref="A15:F15"/>
    <mergeCell ref="A86:C86"/>
    <mergeCell ref="K86:L86"/>
    <mergeCell ref="A89:E89"/>
    <mergeCell ref="F89:I89"/>
    <mergeCell ref="J89:L89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P235"/>
  <sheetViews>
    <sheetView tabSelected="0" workbookViewId="0" view="pageBreakPreview" showGridLines="false" showRowColHeaders="1">
      <selection activeCell="Q134" sqref="Q134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2.7109375" customWidth="true" style="9"/>
    <col min="6" max="6" width="12.7109375" customWidth="true" style="533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11"/>
    <col min="12" max="12" width="16.7109375" customWidth="true" style="11"/>
    <col min="13" max="13" width="11" customWidth="true" style="529"/>
    <col min="14" max="14" width="12.42578125" customWidth="true" style="529"/>
    <col min="15" max="15" width="9.140625" customWidth="true" style="553"/>
  </cols>
  <sheetData>
    <row r="1" spans="1:250" customHeight="1" ht="9.95" s="173" customFormat="1">
      <c r="A1" s="173" t="s">
        <v>0</v>
      </c>
      <c r="J1" s="174"/>
      <c r="L1" s="175"/>
    </row>
    <row r="2" spans="1:250" customHeight="1" ht="9.95" s="173" customFormat="1">
      <c r="A2" s="173" t="s">
        <v>1</v>
      </c>
      <c r="J2" s="174"/>
      <c r="L2" s="175"/>
    </row>
    <row r="3" spans="1:250" customHeight="1" ht="9.95" s="173" customFormat="1">
      <c r="A3" s="173" t="s">
        <v>2</v>
      </c>
      <c r="J3" s="174"/>
      <c r="L3" s="175"/>
    </row>
    <row r="4" spans="1:250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250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250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250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250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335</v>
      </c>
    </row>
    <row r="9" spans="1:250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250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250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250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250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250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250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250" customHeight="1" ht="15.95" s="754" customFormat="1">
      <c r="A16" s="15" t="s">
        <v>24</v>
      </c>
      <c r="B16" s="15"/>
      <c r="C16" s="9"/>
      <c r="D16" s="9"/>
      <c r="E16" s="9"/>
      <c r="F16" s="533"/>
      <c r="G16" s="526"/>
      <c r="H16" s="586"/>
      <c r="I16" s="586"/>
      <c r="J16" s="586"/>
      <c r="K16" s="551"/>
      <c r="M16" s="529"/>
      <c r="N16" s="529"/>
      <c r="O16" s="769"/>
    </row>
    <row r="17" spans="1:250" customHeight="1" ht="15.95" s="754" customFormat="1">
      <c r="A17" s="58" t="s">
        <v>25</v>
      </c>
      <c r="B17" s="58"/>
      <c r="C17" s="9"/>
      <c r="D17" s="9"/>
      <c r="E17" s="9"/>
      <c r="F17" s="533"/>
      <c r="G17" s="532"/>
      <c r="H17" s="537"/>
      <c r="I17" s="537"/>
      <c r="J17" s="537"/>
      <c r="K17" s="537"/>
      <c r="L17" s="533"/>
      <c r="M17" s="529"/>
      <c r="N17" s="529"/>
      <c r="O17" s="769"/>
    </row>
    <row r="18" spans="1:250" customHeight="1" ht="15.95" s="2" customFormat="1">
      <c r="C18" s="9" t="s">
        <v>26</v>
      </c>
      <c r="D18" s="9"/>
      <c r="E18" s="9"/>
      <c r="F18" s="770"/>
      <c r="G18" s="213" t="s">
        <v>27</v>
      </c>
      <c r="H18" s="771">
        <v>19336034.85</v>
      </c>
      <c r="I18" s="771">
        <v>9839829.3</v>
      </c>
      <c r="J18" s="771">
        <f>K18-I18</f>
        <v>13552418.7</v>
      </c>
      <c r="K18" s="771">
        <v>23392248</v>
      </c>
      <c r="L18" s="772">
        <v>24092184</v>
      </c>
      <c r="M18" s="529"/>
      <c r="N18" s="529"/>
      <c r="O18" s="536"/>
    </row>
    <row r="19" spans="1:250" customHeight="1" ht="15.95" s="2" customFormat="1">
      <c r="C19" s="9" t="s">
        <v>336</v>
      </c>
      <c r="D19" s="9"/>
      <c r="E19" s="9"/>
      <c r="F19" s="533"/>
      <c r="G19" s="213" t="s">
        <v>337</v>
      </c>
      <c r="H19" s="616">
        <v>1964909.09</v>
      </c>
      <c r="I19" s="616">
        <v>993727.25</v>
      </c>
      <c r="J19" s="616">
        <f>K19-I19</f>
        <v>1310272.75</v>
      </c>
      <c r="K19" s="616">
        <v>2304000</v>
      </c>
      <c r="L19" s="650">
        <v>2304000</v>
      </c>
      <c r="M19" s="529"/>
      <c r="N19" s="529"/>
      <c r="O19" s="536"/>
    </row>
    <row r="20" spans="1:250" customHeight="1" ht="15.95" s="2" customFormat="1">
      <c r="C20" s="9" t="s">
        <v>30</v>
      </c>
      <c r="D20" s="9"/>
      <c r="E20" s="9"/>
      <c r="F20" s="533"/>
      <c r="G20" s="213" t="s">
        <v>31</v>
      </c>
      <c r="H20" s="616">
        <v>130500</v>
      </c>
      <c r="I20" s="616">
        <v>67500</v>
      </c>
      <c r="J20" s="616">
        <f>K20-I20</f>
        <v>67500</v>
      </c>
      <c r="K20" s="616">
        <v>135000</v>
      </c>
      <c r="L20" s="650">
        <v>135000</v>
      </c>
      <c r="M20" s="529"/>
      <c r="N20" s="529"/>
      <c r="O20" s="536"/>
    </row>
    <row r="21" spans="1:250" customHeight="1" ht="15.95" s="2" customFormat="1">
      <c r="C21" s="9" t="s">
        <v>32</v>
      </c>
      <c r="D21" s="9"/>
      <c r="E21" s="9"/>
      <c r="F21" s="533"/>
      <c r="G21" s="213" t="s">
        <v>33</v>
      </c>
      <c r="H21" s="616">
        <v>137250</v>
      </c>
      <c r="I21" s="616">
        <v>67500</v>
      </c>
      <c r="J21" s="616">
        <f>K21-I21</f>
        <v>67500</v>
      </c>
      <c r="K21" s="616">
        <v>135000</v>
      </c>
      <c r="L21" s="650">
        <v>135000</v>
      </c>
      <c r="M21" s="529"/>
      <c r="N21" s="529"/>
      <c r="O21" s="536"/>
    </row>
    <row r="22" spans="1:250" customHeight="1" ht="15.95" s="2" customFormat="1">
      <c r="C22" s="9" t="s">
        <v>34</v>
      </c>
      <c r="D22" s="9"/>
      <c r="E22" s="9"/>
      <c r="F22" s="533"/>
      <c r="G22" s="213" t="s">
        <v>35</v>
      </c>
      <c r="H22" s="616">
        <v>504000</v>
      </c>
      <c r="I22" s="616">
        <v>462000</v>
      </c>
      <c r="J22" s="616">
        <f>K22-I22</f>
        <v>114000</v>
      </c>
      <c r="K22" s="616">
        <v>576000</v>
      </c>
      <c r="L22" s="650">
        <v>576000</v>
      </c>
      <c r="M22" s="529"/>
      <c r="N22" s="529"/>
      <c r="O22" s="536"/>
    </row>
    <row r="23" spans="1:250" customHeight="1" ht="15.95" s="2" customFormat="1">
      <c r="C23" s="9" t="s">
        <v>36</v>
      </c>
      <c r="D23" s="9"/>
      <c r="E23" s="9"/>
      <c r="F23" s="533"/>
      <c r="G23" s="213" t="s">
        <v>37</v>
      </c>
      <c r="H23" s="616">
        <v>32308.85</v>
      </c>
      <c r="I23" s="616">
        <v>2013.27</v>
      </c>
      <c r="J23" s="616">
        <f>K23-I23</f>
        <v>242986.73</v>
      </c>
      <c r="K23" s="616">
        <v>245000</v>
      </c>
      <c r="L23" s="650">
        <f>SUM(F24:F30)</f>
        <v>245000</v>
      </c>
      <c r="M23" s="529"/>
      <c r="N23" s="529"/>
      <c r="O23" s="536"/>
    </row>
    <row r="24" spans="1:250" customHeight="1" ht="15.95" s="2" customFormat="1">
      <c r="C24" s="29" t="s">
        <v>65</v>
      </c>
      <c r="D24" s="9"/>
      <c r="E24" s="9"/>
      <c r="F24" s="664">
        <v>35000</v>
      </c>
      <c r="G24" s="238"/>
      <c r="H24" s="616"/>
      <c r="I24" s="616"/>
      <c r="J24" s="616"/>
      <c r="K24" s="616"/>
      <c r="L24" s="650"/>
      <c r="M24" s="529"/>
      <c r="N24" s="529"/>
      <c r="O24" s="536"/>
    </row>
    <row r="25" spans="1:250" customHeight="1" ht="15.95" s="2" customFormat="1">
      <c r="C25" s="29" t="s">
        <v>338</v>
      </c>
      <c r="D25" s="9"/>
      <c r="E25" s="9"/>
      <c r="F25" s="664">
        <v>35000</v>
      </c>
      <c r="G25" s="238"/>
      <c r="H25" s="616"/>
      <c r="I25" s="616"/>
      <c r="J25" s="616"/>
      <c r="K25" s="616"/>
      <c r="L25" s="650"/>
      <c r="M25" s="529"/>
      <c r="N25" s="529"/>
      <c r="O25" s="536"/>
    </row>
    <row r="26" spans="1:250" customHeight="1" ht="15.95" s="2" customFormat="1">
      <c r="C26" s="29" t="s">
        <v>339</v>
      </c>
      <c r="D26" s="9"/>
      <c r="E26" s="9"/>
      <c r="F26" s="664">
        <v>35000</v>
      </c>
      <c r="G26" s="238"/>
      <c r="H26" s="616"/>
      <c r="I26" s="616"/>
      <c r="J26" s="616"/>
      <c r="K26" s="616"/>
      <c r="L26" s="650"/>
      <c r="M26" s="529"/>
      <c r="N26" s="529"/>
      <c r="O26" s="536"/>
    </row>
    <row r="27" spans="1:250" customHeight="1" ht="15.95" s="2" customFormat="1">
      <c r="C27" s="29" t="s">
        <v>340</v>
      </c>
      <c r="D27" s="9"/>
      <c r="E27" s="9"/>
      <c r="F27" s="664">
        <v>35000</v>
      </c>
      <c r="G27" s="238"/>
      <c r="H27" s="616"/>
      <c r="I27" s="616"/>
      <c r="J27" s="616"/>
      <c r="K27" s="616"/>
      <c r="L27" s="650"/>
      <c r="M27" s="529"/>
      <c r="N27" s="529"/>
      <c r="O27" s="536"/>
    </row>
    <row r="28" spans="1:250" customHeight="1" ht="15.95" s="2" customFormat="1">
      <c r="C28" s="29" t="s">
        <v>341</v>
      </c>
      <c r="D28" s="9"/>
      <c r="E28" s="9"/>
      <c r="F28" s="664">
        <v>35000</v>
      </c>
      <c r="G28" s="238"/>
      <c r="H28" s="616"/>
      <c r="I28" s="616"/>
      <c r="J28" s="616"/>
      <c r="K28" s="616"/>
      <c r="L28" s="650"/>
      <c r="M28" s="529"/>
      <c r="N28" s="529"/>
      <c r="O28" s="536"/>
    </row>
    <row r="29" spans="1:250" customHeight="1" ht="15.95" s="2" customFormat="1">
      <c r="C29" s="29" t="s">
        <v>342</v>
      </c>
      <c r="D29" s="9"/>
      <c r="E29" s="9"/>
      <c r="F29" s="664">
        <v>35000</v>
      </c>
      <c r="G29" s="238"/>
      <c r="H29" s="616"/>
      <c r="I29" s="616"/>
      <c r="J29" s="616"/>
      <c r="K29" s="616"/>
      <c r="L29" s="650"/>
      <c r="M29" s="529"/>
      <c r="N29" s="529"/>
      <c r="O29" s="536"/>
    </row>
    <row r="30" spans="1:250" customHeight="1" ht="15.95" s="2" customFormat="1">
      <c r="C30" s="29" t="s">
        <v>343</v>
      </c>
      <c r="D30" s="9"/>
      <c r="E30" s="9"/>
      <c r="F30" s="665">
        <v>35000</v>
      </c>
      <c r="G30" s="238"/>
      <c r="H30" s="616"/>
      <c r="I30" s="616"/>
      <c r="J30" s="616"/>
      <c r="K30" s="616"/>
      <c r="L30" s="650"/>
      <c r="M30" s="529"/>
      <c r="N30" s="529"/>
      <c r="O30" s="536"/>
    </row>
    <row r="31" spans="1:250" customHeight="1" ht="15.95" s="2" customFormat="1">
      <c r="C31" s="9" t="s">
        <v>38</v>
      </c>
      <c r="D31" s="9"/>
      <c r="E31" s="9"/>
      <c r="F31" s="533"/>
      <c r="G31" s="213" t="s">
        <v>39</v>
      </c>
      <c r="H31" s="616">
        <v>1630181.65</v>
      </c>
      <c r="I31" s="616">
        <v>0</v>
      </c>
      <c r="J31" s="616">
        <f>K31-I31</f>
        <v>1949354</v>
      </c>
      <c r="K31" s="616">
        <v>1949354</v>
      </c>
      <c r="L31" s="650">
        <v>2007682</v>
      </c>
      <c r="M31" s="529"/>
      <c r="N31" s="529"/>
      <c r="O31" s="536"/>
    </row>
    <row r="32" spans="1:250" customHeight="1" ht="15.95" s="2" customFormat="1">
      <c r="C32" s="9" t="s">
        <v>40</v>
      </c>
      <c r="D32" s="9"/>
      <c r="E32" s="9"/>
      <c r="F32" s="533"/>
      <c r="G32" s="213" t="s">
        <v>41</v>
      </c>
      <c r="H32" s="616">
        <v>416750</v>
      </c>
      <c r="I32" s="616">
        <v>0</v>
      </c>
      <c r="J32" s="616">
        <f>K32-I32</f>
        <v>480000</v>
      </c>
      <c r="K32" s="616">
        <v>480000</v>
      </c>
      <c r="L32" s="650">
        <v>480000</v>
      </c>
      <c r="M32" s="529"/>
      <c r="N32" s="529"/>
      <c r="O32" s="536"/>
    </row>
    <row r="33" spans="1:250" customHeight="1" ht="15.95" s="2" customFormat="1">
      <c r="C33" s="9" t="s">
        <v>42</v>
      </c>
      <c r="D33" s="539"/>
      <c r="E33" s="539"/>
      <c r="F33" s="539"/>
      <c r="G33" s="213" t="s">
        <v>43</v>
      </c>
      <c r="H33" s="616">
        <v>1955925</v>
      </c>
      <c r="I33" s="616">
        <v>1588849</v>
      </c>
      <c r="J33" s="616">
        <f>K33-I33</f>
        <v>840505</v>
      </c>
      <c r="K33" s="616">
        <v>2429354</v>
      </c>
      <c r="L33" s="650">
        <f>SUM(F34:F35)</f>
        <v>2487682</v>
      </c>
      <c r="M33" s="529"/>
      <c r="N33" s="529"/>
      <c r="O33" s="536"/>
    </row>
    <row r="34" spans="1:250" customHeight="1" ht="15.95" s="2" customFormat="1">
      <c r="C34" s="29" t="s">
        <v>44</v>
      </c>
      <c r="D34" s="539"/>
      <c r="E34" s="539"/>
      <c r="F34" s="539">
        <f>L31</f>
        <v>2007682</v>
      </c>
      <c r="G34" s="213"/>
      <c r="H34" s="537"/>
      <c r="I34" s="537"/>
      <c r="J34" s="537"/>
      <c r="K34" s="537"/>
      <c r="L34" s="533"/>
      <c r="M34" s="529"/>
      <c r="N34" s="529"/>
      <c r="O34" s="536"/>
    </row>
    <row r="35" spans="1:250" customHeight="1" ht="15.95" s="2" customFormat="1">
      <c r="C35" s="29" t="s">
        <v>45</v>
      </c>
      <c r="D35" s="539"/>
      <c r="E35" s="539"/>
      <c r="F35" s="618">
        <f>L32</f>
        <v>480000</v>
      </c>
      <c r="G35" s="213"/>
      <c r="H35" s="541">
        <v>0</v>
      </c>
      <c r="I35" s="541">
        <v>0</v>
      </c>
      <c r="J35" s="541">
        <v>0</v>
      </c>
      <c r="K35" s="541">
        <v>0</v>
      </c>
      <c r="L35" s="557">
        <v>0</v>
      </c>
      <c r="M35" s="529"/>
      <c r="N35" s="529"/>
      <c r="O35" s="536"/>
    </row>
    <row r="36" spans="1:250" customHeight="1" ht="15" s="550" customFormat="1">
      <c r="A36" s="543" t="s">
        <v>344</v>
      </c>
      <c r="B36" s="543"/>
      <c r="C36" s="543"/>
      <c r="D36" s="543"/>
      <c r="E36" s="543"/>
      <c r="F36" s="544"/>
      <c r="G36" s="545"/>
      <c r="H36" s="773">
        <f>SUM(H18:H35)</f>
        <v>26107859.44</v>
      </c>
      <c r="I36" s="773">
        <f>SUM(I18:I35)</f>
        <v>13021418.82</v>
      </c>
      <c r="J36" s="773">
        <f>SUM(J18:J35)</f>
        <v>18624537.18</v>
      </c>
      <c r="K36" s="773">
        <f>SUM(K18:K35)</f>
        <v>31645956</v>
      </c>
      <c r="L36" s="774">
        <f>SUM(L18:L35)</f>
        <v>32462548</v>
      </c>
      <c r="M36" s="775"/>
      <c r="N36" s="775"/>
      <c r="O36" s="549"/>
    </row>
    <row r="37" spans="1:250" customHeight="1" ht="17.1" s="754" customFormat="1">
      <c r="A37" s="58" t="s">
        <v>25</v>
      </c>
      <c r="B37" s="58"/>
      <c r="C37" s="9"/>
      <c r="D37" s="9"/>
      <c r="E37" s="9"/>
      <c r="F37" s="533"/>
      <c r="G37" s="532"/>
      <c r="H37" s="537"/>
      <c r="I37" s="537"/>
      <c r="J37" s="537"/>
      <c r="K37" s="537"/>
      <c r="L37" s="533"/>
      <c r="M37" s="529"/>
      <c r="N37" s="529"/>
      <c r="O37" s="769"/>
    </row>
    <row r="38" spans="1:250" customHeight="1" ht="17.1" s="2" customFormat="1">
      <c r="C38" s="9" t="s">
        <v>46</v>
      </c>
      <c r="D38" s="9"/>
      <c r="E38" s="9"/>
      <c r="F38" s="533"/>
      <c r="G38" s="213" t="s">
        <v>47</v>
      </c>
      <c r="H38" s="771">
        <v>2331862.37</v>
      </c>
      <c r="I38" s="771">
        <v>1179414.74</v>
      </c>
      <c r="J38" s="771">
        <f>K38-I38</f>
        <v>1627655.02</v>
      </c>
      <c r="K38" s="771">
        <v>2807069.76</v>
      </c>
      <c r="L38" s="772">
        <v>2891062.08</v>
      </c>
      <c r="M38" s="529"/>
      <c r="N38" s="529"/>
      <c r="O38" s="536"/>
    </row>
    <row r="39" spans="1:250" customHeight="1" ht="17.1" s="2" customFormat="1">
      <c r="C39" s="9" t="s">
        <v>48</v>
      </c>
      <c r="D39" s="9"/>
      <c r="E39" s="9"/>
      <c r="F39" s="533"/>
      <c r="G39" s="213" t="s">
        <v>49</v>
      </c>
      <c r="H39" s="616">
        <v>98700</v>
      </c>
      <c r="I39" s="616">
        <v>51800</v>
      </c>
      <c r="J39" s="616">
        <f>K39-I39</f>
        <v>63400</v>
      </c>
      <c r="K39" s="616">
        <v>115200</v>
      </c>
      <c r="L39" s="650">
        <v>115200</v>
      </c>
      <c r="M39" s="529"/>
      <c r="N39" s="529"/>
      <c r="O39" s="536"/>
    </row>
    <row r="40" spans="1:250" customHeight="1" ht="17.1" s="2" customFormat="1">
      <c r="C40" s="9" t="s">
        <v>50</v>
      </c>
      <c r="D40" s="7"/>
      <c r="E40" s="7"/>
      <c r="F40" s="577"/>
      <c r="G40" s="213" t="s">
        <v>51</v>
      </c>
      <c r="H40" s="616">
        <v>276712.71</v>
      </c>
      <c r="I40" s="616">
        <v>140514.26</v>
      </c>
      <c r="J40" s="616">
        <f>K40-I40</f>
        <v>323676.94</v>
      </c>
      <c r="K40" s="616">
        <v>464191.2</v>
      </c>
      <c r="L40" s="650">
        <v>541420.47</v>
      </c>
      <c r="M40" s="529"/>
      <c r="N40" s="529"/>
      <c r="O40" s="536"/>
    </row>
    <row r="41" spans="1:250" customHeight="1" ht="17.1" s="2" customFormat="1">
      <c r="C41" s="9" t="s">
        <v>52</v>
      </c>
      <c r="D41" s="7"/>
      <c r="E41" s="7"/>
      <c r="F41" s="577"/>
      <c r="G41" s="213" t="s">
        <v>53</v>
      </c>
      <c r="H41" s="616">
        <v>98534.82</v>
      </c>
      <c r="I41" s="616">
        <v>49680.2</v>
      </c>
      <c r="J41" s="616">
        <f>K41-I41</f>
        <v>65519.8</v>
      </c>
      <c r="K41" s="616">
        <v>115200</v>
      </c>
      <c r="L41" s="650">
        <v>115200</v>
      </c>
      <c r="M41" s="529"/>
      <c r="N41" s="529"/>
      <c r="O41" s="536"/>
    </row>
    <row r="42" spans="1:250" customHeight="1" ht="17.1" s="2" customFormat="1">
      <c r="C42" s="9" t="s">
        <v>58</v>
      </c>
      <c r="D42" s="7"/>
      <c r="E42" s="7"/>
      <c r="F42" s="577"/>
      <c r="G42" s="213" t="s">
        <v>59</v>
      </c>
      <c r="H42" s="541">
        <v>2046250</v>
      </c>
      <c r="I42" s="541">
        <v>0</v>
      </c>
      <c r="J42" s="541">
        <v>0</v>
      </c>
      <c r="K42" s="541">
        <v>0</v>
      </c>
      <c r="L42" s="557">
        <v>0</v>
      </c>
      <c r="M42" s="529"/>
      <c r="N42" s="529"/>
      <c r="O42" s="536"/>
      <c r="IP42" s="2">
        <f>SUM(A42:IO42)</f>
        <v>2046250</v>
      </c>
    </row>
    <row r="43" spans="1:250" customHeight="1" ht="17.1" s="550" customFormat="1">
      <c r="A43" s="6" t="s">
        <v>344</v>
      </c>
      <c r="B43" s="6"/>
      <c r="C43" s="6"/>
      <c r="D43" s="6"/>
      <c r="E43" s="6"/>
      <c r="F43" s="583"/>
      <c r="G43" s="243"/>
      <c r="H43" s="776">
        <f>SUM(H38:H42)</f>
        <v>4852059.9</v>
      </c>
      <c r="I43" s="776">
        <f>SUM(I38:I42)</f>
        <v>1421409.2</v>
      </c>
      <c r="J43" s="776">
        <f>SUM(J38:J42)</f>
        <v>2080251.76</v>
      </c>
      <c r="K43" s="776">
        <f>SUM(K38:K42)</f>
        <v>3501660.96</v>
      </c>
      <c r="L43" s="777">
        <f>SUM(L38:L42)</f>
        <v>3662882.55</v>
      </c>
      <c r="M43" s="775"/>
      <c r="N43" s="775"/>
      <c r="O43" s="549"/>
    </row>
    <row r="44" spans="1:250" customHeight="1" ht="17.1" s="550" customFormat="1">
      <c r="A44" s="6" t="s">
        <v>61</v>
      </c>
      <c r="B44" s="6"/>
      <c r="C44" s="6"/>
      <c r="D44" s="6"/>
      <c r="E44" s="6"/>
      <c r="F44" s="583"/>
      <c r="G44" s="243"/>
      <c r="H44" s="776">
        <f>H43+H36</f>
        <v>30959919.34</v>
      </c>
      <c r="I44" s="776">
        <f>I43+I36</f>
        <v>14442828.02</v>
      </c>
      <c r="J44" s="776">
        <f>J43+J36</f>
        <v>20704788.94</v>
      </c>
      <c r="K44" s="776">
        <f>K43+K36</f>
        <v>35147616.96</v>
      </c>
      <c r="L44" s="777">
        <f>L43+L36</f>
        <v>36125430.55</v>
      </c>
      <c r="M44" s="775"/>
      <c r="N44" s="775"/>
      <c r="O44" s="549"/>
    </row>
    <row r="45" spans="1:250" customHeight="1" ht="17.1" s="550" customFormat="1">
      <c r="A45" s="6"/>
      <c r="B45" s="6"/>
      <c r="C45" s="6"/>
      <c r="D45" s="6"/>
      <c r="E45" s="6"/>
      <c r="F45" s="583"/>
      <c r="G45" s="243"/>
      <c r="H45" s="627"/>
      <c r="I45" s="627"/>
      <c r="J45" s="627"/>
      <c r="K45" s="627"/>
      <c r="L45" s="629"/>
      <c r="M45" s="775"/>
      <c r="N45" s="775"/>
      <c r="O45" s="549"/>
    </row>
    <row r="46" spans="1:250" customHeight="1" ht="17.1" s="781" customFormat="1">
      <c r="A46" s="58" t="s">
        <v>345</v>
      </c>
      <c r="B46" s="58"/>
      <c r="C46" s="606"/>
      <c r="D46" s="606"/>
      <c r="E46" s="606"/>
      <c r="F46" s="610"/>
      <c r="G46" s="778"/>
      <c r="H46" s="779"/>
      <c r="I46" s="779"/>
      <c r="J46" s="779"/>
      <c r="K46" s="780"/>
      <c r="M46" s="782"/>
      <c r="N46" s="782"/>
      <c r="O46" s="783"/>
    </row>
    <row r="47" spans="1:250" customHeight="1" ht="17.1" s="2" customFormat="1">
      <c r="C47" s="9" t="s">
        <v>63</v>
      </c>
      <c r="D47" s="9"/>
      <c r="E47" s="9"/>
      <c r="F47" s="533"/>
      <c r="G47" s="238" t="s">
        <v>64</v>
      </c>
      <c r="H47" s="771">
        <v>14550</v>
      </c>
      <c r="I47" s="771">
        <f>11200+17600</f>
        <v>28800</v>
      </c>
      <c r="J47" s="771">
        <f>K47-I47</f>
        <v>273600</v>
      </c>
      <c r="K47" s="771">
        <v>302400</v>
      </c>
      <c r="L47" s="772">
        <f>SUM(F48:F54)</f>
        <v>280000</v>
      </c>
      <c r="M47" s="529"/>
      <c r="N47" s="529"/>
      <c r="O47" s="536"/>
    </row>
    <row r="48" spans="1:250" customHeight="1" ht="17.1" s="2" customFormat="1">
      <c r="C48" s="29" t="s">
        <v>65</v>
      </c>
      <c r="D48" s="9"/>
      <c r="E48" s="9"/>
      <c r="F48" s="664">
        <v>100000</v>
      </c>
      <c r="G48" s="238"/>
      <c r="H48" s="645"/>
      <c r="I48" s="645"/>
      <c r="J48" s="645"/>
      <c r="K48" s="645"/>
      <c r="L48" s="615"/>
      <c r="M48" s="529"/>
      <c r="N48" s="529"/>
      <c r="O48" s="536"/>
    </row>
    <row r="49" spans="1:250" customHeight="1" ht="17.1" s="2" customFormat="1">
      <c r="C49" s="29" t="s">
        <v>338</v>
      </c>
      <c r="D49" s="9"/>
      <c r="E49" s="9"/>
      <c r="F49" s="664">
        <v>30000</v>
      </c>
      <c r="G49" s="238"/>
      <c r="H49" s="645"/>
      <c r="I49" s="645"/>
      <c r="J49" s="645"/>
      <c r="K49" s="645"/>
      <c r="L49" s="615"/>
      <c r="M49" s="529"/>
      <c r="N49" s="529"/>
      <c r="O49" s="536"/>
    </row>
    <row r="50" spans="1:250" customHeight="1" ht="17.1" s="2" customFormat="1">
      <c r="C50" s="29" t="s">
        <v>339</v>
      </c>
      <c r="D50" s="9"/>
      <c r="E50" s="9"/>
      <c r="F50" s="664">
        <v>30000</v>
      </c>
      <c r="G50" s="238"/>
      <c r="H50" s="645"/>
      <c r="I50" s="645"/>
      <c r="J50" s="645"/>
      <c r="K50" s="645"/>
      <c r="L50" s="615"/>
      <c r="M50" s="529"/>
      <c r="N50" s="529"/>
      <c r="O50" s="536"/>
    </row>
    <row r="51" spans="1:250" customHeight="1" ht="17.1" s="2" customFormat="1">
      <c r="C51" s="29" t="s">
        <v>340</v>
      </c>
      <c r="D51" s="9"/>
      <c r="E51" s="9"/>
      <c r="F51" s="664">
        <v>30000</v>
      </c>
      <c r="G51" s="238"/>
      <c r="H51" s="645"/>
      <c r="I51" s="645"/>
      <c r="J51" s="645"/>
      <c r="K51" s="645"/>
      <c r="L51" s="615"/>
      <c r="M51" s="529"/>
      <c r="N51" s="529"/>
      <c r="O51" s="536"/>
    </row>
    <row r="52" spans="1:250" customHeight="1" ht="17.1" s="2" customFormat="1">
      <c r="C52" s="29" t="s">
        <v>341</v>
      </c>
      <c r="D52" s="9"/>
      <c r="E52" s="9"/>
      <c r="F52" s="664">
        <v>30000</v>
      </c>
      <c r="G52" s="238"/>
      <c r="H52" s="645"/>
      <c r="I52" s="645"/>
      <c r="J52" s="645"/>
      <c r="K52" s="645"/>
      <c r="L52" s="615"/>
      <c r="M52" s="529"/>
      <c r="N52" s="529"/>
      <c r="O52" s="536"/>
    </row>
    <row r="53" spans="1:250" customHeight="1" ht="17.1" s="2" customFormat="1">
      <c r="C53" s="29" t="s">
        <v>342</v>
      </c>
      <c r="D53" s="9"/>
      <c r="E53" s="9"/>
      <c r="F53" s="664">
        <v>30000</v>
      </c>
      <c r="G53" s="238"/>
      <c r="H53" s="645"/>
      <c r="I53" s="645"/>
      <c r="J53" s="645"/>
      <c r="K53" s="645"/>
      <c r="L53" s="615"/>
      <c r="M53" s="529"/>
      <c r="N53" s="529"/>
      <c r="O53" s="536"/>
    </row>
    <row r="54" spans="1:250" customHeight="1" ht="17.1" s="2" customFormat="1">
      <c r="C54" s="29" t="s">
        <v>343</v>
      </c>
      <c r="D54" s="9"/>
      <c r="E54" s="9"/>
      <c r="F54" s="665">
        <v>30000</v>
      </c>
      <c r="G54" s="238"/>
      <c r="H54" s="784">
        <v>0</v>
      </c>
      <c r="I54" s="784">
        <v>0</v>
      </c>
      <c r="J54" s="784">
        <v>0</v>
      </c>
      <c r="K54" s="784">
        <v>0</v>
      </c>
      <c r="L54" s="591">
        <v>0</v>
      </c>
      <c r="M54" s="529"/>
      <c r="N54" s="529"/>
      <c r="O54" s="536"/>
    </row>
    <row r="55" spans="1:250" customHeight="1" ht="17.1" s="550" customFormat="1">
      <c r="A55" s="543" t="s">
        <v>346</v>
      </c>
      <c r="B55" s="543"/>
      <c r="C55" s="543"/>
      <c r="D55" s="543"/>
      <c r="E55" s="543"/>
      <c r="F55" s="544"/>
      <c r="G55" s="545"/>
      <c r="H55" s="773">
        <f>SUM(H47:H54)</f>
        <v>14550</v>
      </c>
      <c r="I55" s="773">
        <f>SUM(I47:I54)</f>
        <v>28800</v>
      </c>
      <c r="J55" s="773">
        <f>SUM(J47:J54)</f>
        <v>273600</v>
      </c>
      <c r="K55" s="773">
        <f>SUM(K47:K54)</f>
        <v>302400</v>
      </c>
      <c r="L55" s="774">
        <f>SUM(L47:L54)</f>
        <v>280000</v>
      </c>
      <c r="M55" s="775"/>
      <c r="N55" s="775"/>
      <c r="O55" s="549"/>
    </row>
    <row r="56" spans="1:250" customHeight="1" ht="17.1" s="781" customFormat="1">
      <c r="A56" s="58" t="s">
        <v>345</v>
      </c>
      <c r="B56" s="58"/>
      <c r="C56" s="606"/>
      <c r="D56" s="606"/>
      <c r="E56" s="606"/>
      <c r="F56" s="610"/>
      <c r="G56" s="778"/>
      <c r="H56" s="779"/>
      <c r="I56" s="779"/>
      <c r="J56" s="779"/>
      <c r="K56" s="780"/>
      <c r="M56" s="782"/>
      <c r="N56" s="782"/>
      <c r="O56" s="783"/>
    </row>
    <row r="57" spans="1:250" customHeight="1" ht="17.1" s="2" customFormat="1">
      <c r="C57" s="9" t="s">
        <v>72</v>
      </c>
      <c r="D57" s="9"/>
      <c r="E57" s="9"/>
      <c r="F57" s="533"/>
      <c r="G57" s="238" t="s">
        <v>73</v>
      </c>
      <c r="H57" s="771">
        <v>0</v>
      </c>
      <c r="I57" s="771">
        <f>8000+10000</f>
        <v>18000</v>
      </c>
      <c r="J57" s="771">
        <f>K57-I57</f>
        <v>170000</v>
      </c>
      <c r="K57" s="771">
        <v>188000</v>
      </c>
      <c r="L57" s="772">
        <f>SUM(F58:F64)</f>
        <v>175000</v>
      </c>
      <c r="M57" s="529"/>
      <c r="N57" s="529"/>
      <c r="O57" s="536"/>
    </row>
    <row r="58" spans="1:250" customHeight="1" ht="17.1" s="2" customFormat="1">
      <c r="C58" s="29" t="s">
        <v>65</v>
      </c>
      <c r="D58" s="9"/>
      <c r="E58" s="9"/>
      <c r="F58" s="664">
        <v>25000</v>
      </c>
      <c r="G58" s="238"/>
      <c r="H58" s="537"/>
      <c r="I58" s="537"/>
      <c r="J58" s="537"/>
      <c r="K58" s="537"/>
      <c r="L58" s="533"/>
      <c r="M58" s="529"/>
      <c r="N58" s="529"/>
      <c r="O58" s="536"/>
    </row>
    <row r="59" spans="1:250" customHeight="1" ht="17.1" s="2" customFormat="1">
      <c r="C59" s="29" t="s">
        <v>338</v>
      </c>
      <c r="D59" s="9"/>
      <c r="E59" s="9"/>
      <c r="F59" s="664">
        <v>25000</v>
      </c>
      <c r="G59" s="238"/>
      <c r="H59" s="537"/>
      <c r="I59" s="537"/>
      <c r="J59" s="537"/>
      <c r="K59" s="537"/>
      <c r="L59" s="533"/>
      <c r="M59" s="529"/>
      <c r="N59" s="529"/>
      <c r="O59" s="536"/>
    </row>
    <row r="60" spans="1:250" customHeight="1" ht="17.1" s="2" customFormat="1">
      <c r="C60" s="29" t="s">
        <v>339</v>
      </c>
      <c r="D60" s="9"/>
      <c r="E60" s="9"/>
      <c r="F60" s="664">
        <v>25000</v>
      </c>
      <c r="G60" s="238"/>
      <c r="H60" s="537"/>
      <c r="I60" s="537"/>
      <c r="J60" s="537"/>
      <c r="K60" s="537"/>
      <c r="L60" s="533"/>
      <c r="M60" s="529"/>
      <c r="N60" s="529"/>
      <c r="O60" s="536"/>
    </row>
    <row r="61" spans="1:250" customHeight="1" ht="17.1" s="2" customFormat="1">
      <c r="C61" s="29" t="s">
        <v>340</v>
      </c>
      <c r="D61" s="9"/>
      <c r="E61" s="9"/>
      <c r="F61" s="664">
        <v>25000</v>
      </c>
      <c r="G61" s="238"/>
      <c r="H61" s="537"/>
      <c r="I61" s="537"/>
      <c r="J61" s="537"/>
      <c r="K61" s="537"/>
      <c r="L61" s="533"/>
      <c r="M61" s="529"/>
      <c r="N61" s="529"/>
      <c r="O61" s="536"/>
    </row>
    <row r="62" spans="1:250" customHeight="1" ht="17.1" s="2" customFormat="1">
      <c r="C62" s="29" t="s">
        <v>341</v>
      </c>
      <c r="D62" s="9"/>
      <c r="E62" s="9"/>
      <c r="F62" s="664">
        <v>25000</v>
      </c>
      <c r="G62" s="238"/>
      <c r="H62" s="537"/>
      <c r="I62" s="537"/>
      <c r="J62" s="537"/>
      <c r="K62" s="537"/>
      <c r="L62" s="533"/>
      <c r="M62" s="529"/>
      <c r="N62" s="529"/>
      <c r="O62" s="536"/>
    </row>
    <row r="63" spans="1:250" customHeight="1" ht="17.1" s="2" customFormat="1">
      <c r="C63" s="29" t="s">
        <v>342</v>
      </c>
      <c r="D63" s="9"/>
      <c r="E63" s="9"/>
      <c r="F63" s="664">
        <v>25000</v>
      </c>
      <c r="G63" s="238"/>
      <c r="H63" s="537"/>
      <c r="I63" s="537"/>
      <c r="J63" s="537"/>
      <c r="K63" s="537"/>
      <c r="L63" s="533"/>
      <c r="M63" s="529"/>
      <c r="N63" s="529"/>
      <c r="O63" s="536"/>
    </row>
    <row r="64" spans="1:250" customHeight="1" ht="17.1" s="2" customFormat="1">
      <c r="C64" s="29" t="s">
        <v>343</v>
      </c>
      <c r="D64" s="9"/>
      <c r="E64" s="9"/>
      <c r="F64" s="665">
        <v>25000</v>
      </c>
      <c r="G64" s="238"/>
      <c r="H64" s="541"/>
      <c r="I64" s="541"/>
      <c r="J64" s="541"/>
      <c r="K64" s="541"/>
      <c r="L64" s="557"/>
      <c r="M64" s="529"/>
      <c r="N64" s="529"/>
      <c r="O64" s="536"/>
    </row>
    <row r="65" spans="1:250" customHeight="1" ht="17.1" s="2" customFormat="1">
      <c r="C65" s="9" t="s">
        <v>234</v>
      </c>
      <c r="D65" s="9"/>
      <c r="E65" s="9"/>
      <c r="F65" s="533"/>
      <c r="G65" s="238" t="s">
        <v>77</v>
      </c>
      <c r="H65" s="537">
        <v>367014.5</v>
      </c>
      <c r="I65" s="537">
        <f>5000</f>
        <v>5000</v>
      </c>
      <c r="J65" s="666">
        <f>K65-I65</f>
        <v>355000</v>
      </c>
      <c r="K65" s="537">
        <v>360000</v>
      </c>
      <c r="L65" s="533">
        <f>SUM(F66:F72)</f>
        <v>230000</v>
      </c>
      <c r="M65" s="529"/>
      <c r="N65" s="529"/>
      <c r="O65" s="536"/>
    </row>
    <row r="66" spans="1:250" customHeight="1" ht="17.1" s="2" customFormat="1">
      <c r="C66" s="29" t="s">
        <v>65</v>
      </c>
      <c r="D66" s="9"/>
      <c r="E66" s="9"/>
      <c r="F66" s="664">
        <v>50000</v>
      </c>
      <c r="G66" s="238"/>
      <c r="H66" s="537"/>
      <c r="I66" s="537"/>
      <c r="J66" s="537"/>
      <c r="K66" s="537"/>
      <c r="L66" s="533"/>
      <c r="M66" s="529"/>
      <c r="N66" s="529"/>
      <c r="O66" s="536"/>
    </row>
    <row r="67" spans="1:250" customHeight="1" ht="17.1" s="2" customFormat="1">
      <c r="C67" s="29" t="s">
        <v>338</v>
      </c>
      <c r="D67" s="9"/>
      <c r="E67" s="9"/>
      <c r="F67" s="664">
        <v>30000</v>
      </c>
      <c r="G67" s="238"/>
      <c r="H67" s="537"/>
      <c r="I67" s="537"/>
      <c r="J67" s="537"/>
      <c r="K67" s="537"/>
      <c r="L67" s="533"/>
      <c r="M67" s="529"/>
      <c r="N67" s="529"/>
      <c r="O67" s="536"/>
    </row>
    <row r="68" spans="1:250" customHeight="1" ht="17.1" s="2" customFormat="1">
      <c r="C68" s="29" t="s">
        <v>339</v>
      </c>
      <c r="D68" s="9"/>
      <c r="E68" s="9"/>
      <c r="F68" s="664">
        <v>30000</v>
      </c>
      <c r="G68" s="238"/>
      <c r="H68" s="537"/>
      <c r="I68" s="537"/>
      <c r="J68" s="537"/>
      <c r="K68" s="537"/>
      <c r="L68" s="533"/>
      <c r="M68" s="529"/>
      <c r="N68" s="529"/>
      <c r="O68" s="536"/>
    </row>
    <row r="69" spans="1:250" customHeight="1" ht="17.1" s="2" customFormat="1">
      <c r="C69" s="29" t="s">
        <v>340</v>
      </c>
      <c r="D69" s="9"/>
      <c r="E69" s="9"/>
      <c r="F69" s="664">
        <v>30000</v>
      </c>
      <c r="G69" s="238"/>
      <c r="H69" s="537"/>
      <c r="I69" s="537"/>
      <c r="J69" s="537"/>
      <c r="K69" s="537"/>
      <c r="L69" s="533"/>
      <c r="M69" s="529"/>
      <c r="N69" s="529"/>
      <c r="O69" s="536"/>
    </row>
    <row r="70" spans="1:250" customHeight="1" ht="17.1" s="2" customFormat="1">
      <c r="C70" s="29" t="s">
        <v>341</v>
      </c>
      <c r="D70" s="9"/>
      <c r="E70" s="9"/>
      <c r="F70" s="664">
        <v>30000</v>
      </c>
      <c r="G70" s="238"/>
      <c r="H70" s="537"/>
      <c r="I70" s="537"/>
      <c r="J70" s="537"/>
      <c r="K70" s="537"/>
      <c r="L70" s="533"/>
      <c r="M70" s="529"/>
      <c r="N70" s="529"/>
      <c r="O70" s="536"/>
    </row>
    <row r="71" spans="1:250" customHeight="1" ht="17.1" s="2" customFormat="1">
      <c r="C71" s="29" t="s">
        <v>342</v>
      </c>
      <c r="D71" s="9"/>
      <c r="E71" s="9"/>
      <c r="F71" s="664">
        <v>30000</v>
      </c>
      <c r="G71" s="238"/>
      <c r="H71" s="537"/>
      <c r="I71" s="537"/>
      <c r="J71" s="537"/>
      <c r="K71" s="537"/>
      <c r="L71" s="533"/>
      <c r="M71" s="529"/>
      <c r="N71" s="529"/>
      <c r="O71" s="536"/>
    </row>
    <row r="72" spans="1:250" customHeight="1" ht="17.1" s="2" customFormat="1">
      <c r="C72" s="29" t="s">
        <v>343</v>
      </c>
      <c r="D72" s="9"/>
      <c r="E72" s="9"/>
      <c r="F72" s="665">
        <v>30000</v>
      </c>
      <c r="G72" s="238"/>
      <c r="H72" s="541">
        <v>0</v>
      </c>
      <c r="I72" s="541">
        <v>0</v>
      </c>
      <c r="J72" s="541">
        <v>0</v>
      </c>
      <c r="K72" s="541">
        <v>0</v>
      </c>
      <c r="L72" s="557">
        <v>0</v>
      </c>
      <c r="M72" s="529"/>
      <c r="N72" s="529"/>
      <c r="O72" s="536"/>
    </row>
    <row r="73" spans="1:250" customHeight="1" ht="17.1" s="550" customFormat="1">
      <c r="A73" s="6" t="s">
        <v>346</v>
      </c>
      <c r="B73" s="6"/>
      <c r="C73" s="6"/>
      <c r="D73" s="6"/>
      <c r="E73" s="6"/>
      <c r="F73" s="583"/>
      <c r="G73" s="243"/>
      <c r="H73" s="776">
        <f>SUM(H57:H72)</f>
        <v>367014.5</v>
      </c>
      <c r="I73" s="776">
        <f>SUM(I57:I72)</f>
        <v>23000</v>
      </c>
      <c r="J73" s="776">
        <f>SUM(J57:J72)</f>
        <v>525000</v>
      </c>
      <c r="K73" s="776">
        <f>SUM(K57:K72)</f>
        <v>548000</v>
      </c>
      <c r="L73" s="777">
        <f>SUM(L57:L72)</f>
        <v>405000</v>
      </c>
      <c r="M73" s="775"/>
      <c r="N73" s="775"/>
      <c r="O73" s="549"/>
    </row>
    <row r="74" spans="1:250" customHeight="1" ht="15.95" s="2" customFormat="1">
      <c r="A74" s="785"/>
      <c r="B74" s="785"/>
      <c r="C74" s="786"/>
      <c r="D74" s="787"/>
      <c r="E74" s="787"/>
      <c r="F74" s="788"/>
      <c r="G74" s="789"/>
      <c r="H74" s="788"/>
      <c r="I74" s="788"/>
      <c r="J74" s="788"/>
      <c r="K74" s="788"/>
      <c r="L74" s="788"/>
      <c r="M74" s="529"/>
      <c r="N74" s="529"/>
      <c r="O74" s="536"/>
    </row>
    <row r="75" spans="1:250" customHeight="1" ht="15.95" s="781" customFormat="1">
      <c r="A75" s="58" t="s">
        <v>345</v>
      </c>
      <c r="B75" s="58"/>
      <c r="C75" s="606"/>
      <c r="D75" s="606"/>
      <c r="E75" s="606"/>
      <c r="F75" s="610"/>
      <c r="G75" s="778"/>
      <c r="H75" s="779"/>
      <c r="I75" s="779"/>
      <c r="J75" s="779"/>
      <c r="K75" s="780"/>
      <c r="M75" s="782"/>
      <c r="N75" s="782"/>
      <c r="O75" s="783"/>
    </row>
    <row r="76" spans="1:250" customHeight="1" ht="15.95" s="2" customFormat="1">
      <c r="C76" s="9" t="s">
        <v>235</v>
      </c>
      <c r="D76" s="9"/>
      <c r="E76" s="9"/>
      <c r="F76" s="533"/>
      <c r="G76" s="238" t="s">
        <v>80</v>
      </c>
      <c r="H76" s="771">
        <v>507258.2</v>
      </c>
      <c r="I76" s="771">
        <f>49900+53200</f>
        <v>103100</v>
      </c>
      <c r="J76" s="771">
        <f>K76-I76</f>
        <v>446900</v>
      </c>
      <c r="K76" s="771">
        <v>550000</v>
      </c>
      <c r="L76" s="772">
        <f>SUM(F77:F78)</f>
        <v>550000</v>
      </c>
      <c r="M76" s="529"/>
      <c r="N76" s="529"/>
      <c r="O76" s="536"/>
    </row>
    <row r="77" spans="1:250" customHeight="1" ht="15.95" s="2" customFormat="1">
      <c r="C77" s="29" t="s">
        <v>65</v>
      </c>
      <c r="D77" s="9"/>
      <c r="E77" s="9"/>
      <c r="F77" s="664">
        <v>250000</v>
      </c>
      <c r="G77" s="238"/>
      <c r="H77" s="537"/>
      <c r="I77" s="537"/>
      <c r="J77" s="537"/>
      <c r="K77" s="537"/>
      <c r="L77" s="533"/>
      <c r="M77" s="529"/>
      <c r="N77" s="529"/>
      <c r="O77" s="536"/>
    </row>
    <row r="78" spans="1:250" customHeight="1" ht="15.95" s="2" customFormat="1">
      <c r="C78" s="29" t="s">
        <v>343</v>
      </c>
      <c r="D78" s="9"/>
      <c r="E78" s="9"/>
      <c r="F78" s="665">
        <v>300000</v>
      </c>
      <c r="G78" s="238"/>
      <c r="H78" s="537"/>
      <c r="I78" s="537"/>
      <c r="J78" s="537"/>
      <c r="K78" s="537"/>
      <c r="L78" s="533"/>
      <c r="M78" s="529"/>
      <c r="N78" s="529"/>
      <c r="O78" s="536"/>
    </row>
    <row r="79" spans="1:250" customHeight="1" ht="15.95" s="2" customFormat="1">
      <c r="C79" s="9" t="s">
        <v>347</v>
      </c>
      <c r="D79" s="9"/>
      <c r="E79" s="9"/>
      <c r="F79" s="533"/>
      <c r="G79" s="213" t="s">
        <v>82</v>
      </c>
      <c r="H79" s="537">
        <v>155114.6</v>
      </c>
      <c r="I79" s="537">
        <f>0+19590+8340</f>
        <v>27930</v>
      </c>
      <c r="J79" s="666">
        <f>K79-I79</f>
        <v>187070</v>
      </c>
      <c r="K79" s="537">
        <v>215000</v>
      </c>
      <c r="L79" s="533">
        <f>SUM(F80:F84)</f>
        <v>150000</v>
      </c>
      <c r="M79" s="529"/>
      <c r="N79" s="529"/>
      <c r="O79" s="536"/>
    </row>
    <row r="80" spans="1:250" customHeight="1" ht="15.95" s="2" customFormat="1">
      <c r="C80" s="29" t="s">
        <v>65</v>
      </c>
      <c r="D80" s="9"/>
      <c r="E80" s="9"/>
      <c r="F80" s="664">
        <v>30000</v>
      </c>
      <c r="G80" s="213"/>
      <c r="H80" s="537"/>
      <c r="I80" s="537"/>
      <c r="J80" s="537"/>
      <c r="K80" s="537"/>
      <c r="L80" s="533"/>
      <c r="M80" s="529"/>
      <c r="N80" s="529"/>
      <c r="O80" s="536"/>
    </row>
    <row r="81" spans="1:250" customHeight="1" ht="15.95" s="2" customFormat="1">
      <c r="C81" s="29" t="s">
        <v>338</v>
      </c>
      <c r="D81" s="9"/>
      <c r="E81" s="9"/>
      <c r="F81" s="664">
        <v>30000</v>
      </c>
      <c r="G81" s="213"/>
      <c r="H81" s="537"/>
      <c r="I81" s="537"/>
      <c r="J81" s="537"/>
      <c r="K81" s="537"/>
      <c r="L81" s="533"/>
      <c r="M81" s="529"/>
      <c r="N81" s="529"/>
      <c r="O81" s="536"/>
    </row>
    <row r="82" spans="1:250" customHeight="1" ht="15.95" s="2" customFormat="1">
      <c r="C82" s="29" t="s">
        <v>340</v>
      </c>
      <c r="D82" s="9"/>
      <c r="E82" s="9"/>
      <c r="F82" s="664">
        <v>30000</v>
      </c>
      <c r="G82" s="213"/>
      <c r="H82" s="537"/>
      <c r="I82" s="537"/>
      <c r="J82" s="537"/>
      <c r="K82" s="537"/>
      <c r="L82" s="533"/>
      <c r="M82" s="529"/>
      <c r="N82" s="529"/>
      <c r="O82" s="536"/>
    </row>
    <row r="83" spans="1:250" customHeight="1" ht="15.95" s="2" customFormat="1">
      <c r="C83" s="29" t="s">
        <v>341</v>
      </c>
      <c r="D83" s="9"/>
      <c r="E83" s="9"/>
      <c r="F83" s="664">
        <v>30000</v>
      </c>
      <c r="G83" s="213"/>
      <c r="H83" s="537"/>
      <c r="I83" s="537"/>
      <c r="J83" s="537"/>
      <c r="K83" s="537"/>
      <c r="L83" s="533"/>
      <c r="M83" s="529"/>
      <c r="N83" s="529"/>
      <c r="O83" s="536"/>
    </row>
    <row r="84" spans="1:250" customHeight="1" ht="15.95" s="2" customFormat="1">
      <c r="C84" s="29" t="s">
        <v>343</v>
      </c>
      <c r="D84" s="9"/>
      <c r="E84" s="9"/>
      <c r="F84" s="665">
        <v>30000</v>
      </c>
      <c r="G84" s="213"/>
      <c r="H84" s="537"/>
      <c r="I84" s="537"/>
      <c r="J84" s="537"/>
      <c r="K84" s="537"/>
      <c r="L84" s="533"/>
      <c r="M84" s="529"/>
      <c r="N84" s="529"/>
      <c r="O84" s="536"/>
    </row>
    <row r="85" spans="1:250" customHeight="1" ht="15.95" s="2" customFormat="1">
      <c r="C85" s="9" t="s">
        <v>263</v>
      </c>
      <c r="D85" s="9"/>
      <c r="E85" s="9"/>
      <c r="F85" s="533"/>
      <c r="G85" s="238" t="s">
        <v>96</v>
      </c>
      <c r="H85" s="537">
        <v>102709.22</v>
      </c>
      <c r="I85" s="537">
        <f>28639.21+8899</f>
        <v>37538.21</v>
      </c>
      <c r="J85" s="666">
        <f>K85-I85</f>
        <v>43461.79</v>
      </c>
      <c r="K85" s="537">
        <v>81000</v>
      </c>
      <c r="L85" s="533">
        <f>SUM(F86:F88)</f>
        <v>81000</v>
      </c>
      <c r="M85" s="529"/>
      <c r="N85" s="529"/>
      <c r="O85" s="536"/>
    </row>
    <row r="86" spans="1:250" customHeight="1" ht="15.95" s="2" customFormat="1">
      <c r="C86" s="29" t="s">
        <v>65</v>
      </c>
      <c r="D86" s="9"/>
      <c r="E86" s="9"/>
      <c r="F86" s="664">
        <v>48000</v>
      </c>
      <c r="G86" s="238"/>
      <c r="H86" s="537"/>
      <c r="I86" s="537"/>
      <c r="J86" s="537"/>
      <c r="K86" s="537"/>
      <c r="L86" s="533"/>
      <c r="M86" s="529"/>
      <c r="N86" s="529"/>
      <c r="O86" s="536"/>
    </row>
    <row r="87" spans="1:250" customHeight="1" ht="15.95" s="2" customFormat="1">
      <c r="C87" s="29" t="s">
        <v>341</v>
      </c>
      <c r="D87" s="9"/>
      <c r="E87" s="9"/>
      <c r="F87" s="664">
        <v>18000</v>
      </c>
      <c r="G87" s="238"/>
      <c r="H87" s="537"/>
      <c r="I87" s="537"/>
      <c r="J87" s="537"/>
      <c r="K87" s="537"/>
      <c r="L87" s="533"/>
      <c r="M87" s="529"/>
      <c r="N87" s="529"/>
      <c r="O87" s="536"/>
    </row>
    <row r="88" spans="1:250" customHeight="1" ht="15.95" s="2" customFormat="1">
      <c r="C88" s="29" t="s">
        <v>343</v>
      </c>
      <c r="D88" s="9"/>
      <c r="E88" s="9"/>
      <c r="F88" s="665">
        <v>15000</v>
      </c>
      <c r="G88" s="238"/>
      <c r="H88" s="537"/>
      <c r="I88" s="537"/>
      <c r="J88" s="537"/>
      <c r="K88" s="537"/>
      <c r="L88" s="533"/>
      <c r="M88" s="529"/>
      <c r="N88" s="529"/>
      <c r="O88" s="536"/>
    </row>
    <row r="89" spans="1:250" customHeight="1" ht="15.95" s="2" customFormat="1">
      <c r="C89" s="9" t="s">
        <v>348</v>
      </c>
      <c r="D89" s="671"/>
      <c r="E89" s="9"/>
      <c r="F89" s="509"/>
      <c r="G89" s="213" t="s">
        <v>100</v>
      </c>
      <c r="H89" s="537">
        <v>875100</v>
      </c>
      <c r="I89" s="537">
        <v>116110</v>
      </c>
      <c r="J89" s="666">
        <f>K89-I89</f>
        <v>660890</v>
      </c>
      <c r="K89" s="537">
        <v>777000</v>
      </c>
      <c r="L89" s="533">
        <f>SUM(F90:F91)</f>
        <v>517000</v>
      </c>
      <c r="M89" s="529"/>
      <c r="N89" s="529"/>
      <c r="O89" s="536"/>
    </row>
    <row r="90" spans="1:250" customHeight="1" ht="15.95" s="2" customFormat="1">
      <c r="C90" s="29" t="s">
        <v>65</v>
      </c>
      <c r="D90" s="9"/>
      <c r="E90" s="9"/>
      <c r="F90" s="539">
        <v>267000</v>
      </c>
      <c r="G90" s="213"/>
      <c r="H90" s="537"/>
      <c r="I90" s="537"/>
      <c r="J90" s="537"/>
      <c r="K90" s="537"/>
      <c r="L90" s="533"/>
      <c r="M90" s="529"/>
      <c r="N90" s="529"/>
      <c r="O90" s="536"/>
    </row>
    <row r="91" spans="1:250" customHeight="1" ht="15.95" s="2" customFormat="1">
      <c r="C91" s="29" t="s">
        <v>343</v>
      </c>
      <c r="D91" s="9"/>
      <c r="E91" s="9"/>
      <c r="F91" s="618">
        <v>250000</v>
      </c>
      <c r="G91" s="213"/>
      <c r="H91" s="537"/>
      <c r="I91" s="537"/>
      <c r="J91" s="537"/>
      <c r="K91" s="537"/>
      <c r="L91" s="533"/>
      <c r="M91" s="529"/>
      <c r="N91" s="529"/>
      <c r="O91" s="536"/>
    </row>
    <row r="92" spans="1:250" customHeight="1" ht="15.95" s="2" customFormat="1">
      <c r="C92" s="9" t="s">
        <v>349</v>
      </c>
      <c r="D92" s="671"/>
      <c r="E92" s="9"/>
      <c r="F92" s="509"/>
      <c r="G92" s="213" t="s">
        <v>102</v>
      </c>
      <c r="H92" s="537">
        <v>397642.27</v>
      </c>
      <c r="I92" s="537">
        <f>0+187689.2</f>
        <v>187689.2</v>
      </c>
      <c r="J92" s="666">
        <f>K92-I92</f>
        <v>1562310.8</v>
      </c>
      <c r="K92" s="537">
        <v>1750000</v>
      </c>
      <c r="L92" s="533">
        <f>SUM(F93:F94)</f>
        <v>1150000</v>
      </c>
      <c r="M92" s="529"/>
      <c r="N92" s="529"/>
      <c r="O92" s="536"/>
    </row>
    <row r="93" spans="1:250" customHeight="1" ht="15.95" s="2" customFormat="1">
      <c r="C93" s="29" t="s">
        <v>65</v>
      </c>
      <c r="D93" s="9"/>
      <c r="E93" s="9"/>
      <c r="F93" s="539">
        <v>150000</v>
      </c>
      <c r="G93" s="213"/>
      <c r="H93" s="537"/>
      <c r="I93" s="537"/>
      <c r="J93" s="537"/>
      <c r="K93" s="537"/>
      <c r="L93" s="533"/>
      <c r="M93" s="529"/>
      <c r="N93" s="529"/>
      <c r="O93" s="536"/>
    </row>
    <row r="94" spans="1:250" customHeight="1" ht="15.95" s="2" customFormat="1">
      <c r="C94" s="29" t="s">
        <v>343</v>
      </c>
      <c r="D94" s="9"/>
      <c r="E94" s="9"/>
      <c r="F94" s="618">
        <v>1000000</v>
      </c>
      <c r="G94" s="213"/>
      <c r="H94" s="541">
        <v>0</v>
      </c>
      <c r="I94" s="541">
        <v>0</v>
      </c>
      <c r="J94" s="541">
        <v>0</v>
      </c>
      <c r="K94" s="541">
        <v>0</v>
      </c>
      <c r="L94" s="557">
        <v>0</v>
      </c>
      <c r="M94" s="529"/>
      <c r="N94" s="529"/>
      <c r="O94" s="536"/>
    </row>
    <row r="95" spans="1:250" customHeight="1" ht="15.95" s="550" customFormat="1">
      <c r="A95" s="543" t="s">
        <v>75</v>
      </c>
      <c r="B95" s="543"/>
      <c r="C95" s="543"/>
      <c r="D95" s="543"/>
      <c r="E95" s="543"/>
      <c r="F95" s="544"/>
      <c r="G95" s="545"/>
      <c r="H95" s="773">
        <f>SUM(H75:H94)</f>
        <v>2037824.29</v>
      </c>
      <c r="I95" s="773">
        <f>SUM(I75:I94)</f>
        <v>472367.41</v>
      </c>
      <c r="J95" s="773">
        <f>SUM(J75:J94)</f>
        <v>2900632.59</v>
      </c>
      <c r="K95" s="773">
        <f>SUM(K75:K94)</f>
        <v>3373000</v>
      </c>
      <c r="L95" s="774">
        <f>SUM(L75:L94)</f>
        <v>2448000</v>
      </c>
      <c r="M95" s="775"/>
      <c r="N95" s="775"/>
      <c r="O95" s="549"/>
    </row>
    <row r="96" spans="1:250" customHeight="1" ht="17.1" s="781" customFormat="1">
      <c r="A96" s="58" t="s">
        <v>345</v>
      </c>
      <c r="B96" s="58"/>
      <c r="C96" s="606"/>
      <c r="D96" s="606"/>
      <c r="E96" s="606"/>
      <c r="F96" s="610"/>
      <c r="G96" s="778"/>
      <c r="H96" s="779"/>
      <c r="I96" s="779"/>
      <c r="J96" s="779"/>
      <c r="K96" s="780"/>
      <c r="M96" s="782"/>
      <c r="N96" s="782"/>
      <c r="O96" s="783"/>
    </row>
    <row r="97" spans="1:250" customHeight="1" ht="17.1" s="2" customFormat="1">
      <c r="C97" s="9" t="s">
        <v>265</v>
      </c>
      <c r="D97" s="9"/>
      <c r="E97" s="9"/>
      <c r="F97" s="533"/>
      <c r="G97" s="213" t="s">
        <v>123</v>
      </c>
      <c r="H97" s="771">
        <v>16887.8</v>
      </c>
      <c r="I97" s="771">
        <v>22240.3</v>
      </c>
      <c r="J97" s="771">
        <f>K97-I97</f>
        <v>177759.7</v>
      </c>
      <c r="K97" s="771">
        <v>200000</v>
      </c>
      <c r="L97" s="772">
        <v>100000</v>
      </c>
      <c r="M97" s="529"/>
      <c r="N97" s="529"/>
      <c r="O97" s="536"/>
    </row>
    <row r="98" spans="1:250" customHeight="1" ht="17.1" s="2" customFormat="1">
      <c r="C98" s="9" t="s">
        <v>240</v>
      </c>
      <c r="D98" s="9"/>
      <c r="E98" s="9"/>
      <c r="F98" s="533"/>
      <c r="G98" s="238" t="s">
        <v>125</v>
      </c>
      <c r="H98" s="616">
        <v>0</v>
      </c>
      <c r="I98" s="616">
        <v>0</v>
      </c>
      <c r="J98" s="616">
        <f>K98-I98</f>
        <v>1000</v>
      </c>
      <c r="K98" s="616">
        <v>1000</v>
      </c>
      <c r="L98" s="650">
        <v>1000</v>
      </c>
      <c r="M98" s="529"/>
      <c r="N98" s="529"/>
      <c r="O98" s="536"/>
    </row>
    <row r="99" spans="1:250" customHeight="1" ht="17.1" s="2" customFormat="1">
      <c r="C99" s="9" t="s">
        <v>350</v>
      </c>
      <c r="D99" s="9"/>
      <c r="E99" s="9"/>
      <c r="F99" s="533"/>
      <c r="G99" s="238" t="s">
        <v>351</v>
      </c>
      <c r="H99" s="616">
        <v>0</v>
      </c>
      <c r="I99" s="616"/>
      <c r="J99" s="616">
        <f>K99-I99</f>
        <v>42000</v>
      </c>
      <c r="K99" s="616">
        <v>42000</v>
      </c>
      <c r="L99" s="650">
        <f>F100</f>
        <v>20000</v>
      </c>
      <c r="M99" s="529"/>
      <c r="N99" s="529"/>
      <c r="O99" s="536"/>
    </row>
    <row r="100" spans="1:250" customHeight="1" ht="17.1" s="2" customFormat="1">
      <c r="C100" s="29" t="s">
        <v>338</v>
      </c>
      <c r="D100" s="9"/>
      <c r="E100" s="9"/>
      <c r="F100" s="664">
        <v>20000</v>
      </c>
      <c r="G100" s="238"/>
      <c r="H100" s="616"/>
      <c r="I100" s="616"/>
      <c r="J100" s="616"/>
      <c r="K100" s="616"/>
      <c r="L100" s="650"/>
      <c r="M100" s="529"/>
      <c r="N100" s="529"/>
      <c r="O100" s="536"/>
    </row>
    <row r="101" spans="1:250" customHeight="1" ht="17.1" s="2" customFormat="1">
      <c r="A101" s="2" t="s">
        <v>352</v>
      </c>
      <c r="C101" s="9" t="s">
        <v>203</v>
      </c>
      <c r="D101" s="9"/>
      <c r="E101" s="9"/>
      <c r="F101" s="533"/>
      <c r="G101" s="238" t="s">
        <v>143</v>
      </c>
      <c r="H101" s="616">
        <v>204580.06</v>
      </c>
      <c r="I101" s="616">
        <f>0+6639.64</f>
        <v>6639.64</v>
      </c>
      <c r="J101" s="616">
        <f>K101-I101</f>
        <v>303360.36</v>
      </c>
      <c r="K101" s="616">
        <v>310000</v>
      </c>
      <c r="L101" s="650">
        <f>SUM(F102:F107)</f>
        <v>200000</v>
      </c>
      <c r="M101" s="529"/>
      <c r="N101" s="529"/>
      <c r="O101" s="536"/>
    </row>
    <row r="102" spans="1:250" customHeight="1" ht="17.1" s="2" customFormat="1">
      <c r="C102" s="29" t="s">
        <v>65</v>
      </c>
      <c r="D102" s="9"/>
      <c r="E102" s="9"/>
      <c r="F102" s="664">
        <v>50000</v>
      </c>
      <c r="G102" s="238"/>
      <c r="H102" s="616"/>
      <c r="I102" s="616"/>
      <c r="J102" s="616"/>
      <c r="K102" s="616"/>
      <c r="L102" s="650"/>
      <c r="M102" s="529"/>
      <c r="N102" s="529"/>
      <c r="O102" s="536"/>
    </row>
    <row r="103" spans="1:250" customHeight="1" ht="17.1" s="2" customFormat="1">
      <c r="C103" s="29" t="s">
        <v>338</v>
      </c>
      <c r="D103" s="9"/>
      <c r="E103" s="9"/>
      <c r="F103" s="664">
        <v>50000</v>
      </c>
      <c r="G103" s="238"/>
      <c r="H103" s="616"/>
      <c r="I103" s="616"/>
      <c r="J103" s="616"/>
      <c r="K103" s="616"/>
      <c r="L103" s="650"/>
      <c r="M103" s="529"/>
      <c r="N103" s="529"/>
      <c r="O103" s="536"/>
    </row>
    <row r="104" spans="1:250" customHeight="1" ht="17.1" s="2" customFormat="1">
      <c r="C104" s="29" t="s">
        <v>339</v>
      </c>
      <c r="D104" s="9"/>
      <c r="E104" s="9"/>
      <c r="F104" s="664">
        <v>20000</v>
      </c>
      <c r="G104" s="238"/>
      <c r="H104" s="616"/>
      <c r="I104" s="616"/>
      <c r="J104" s="616"/>
      <c r="K104" s="616"/>
      <c r="L104" s="650"/>
      <c r="M104" s="529"/>
      <c r="N104" s="529"/>
      <c r="O104" s="536"/>
    </row>
    <row r="105" spans="1:250" customHeight="1" ht="17.1" s="2" customFormat="1">
      <c r="C105" s="29" t="s">
        <v>340</v>
      </c>
      <c r="D105" s="9"/>
      <c r="E105" s="9"/>
      <c r="F105" s="664">
        <v>20000</v>
      </c>
      <c r="G105" s="238"/>
      <c r="H105" s="616"/>
      <c r="I105" s="616"/>
      <c r="J105" s="616"/>
      <c r="K105" s="616"/>
      <c r="L105" s="650"/>
      <c r="M105" s="529"/>
      <c r="N105" s="529"/>
      <c r="O105" s="536"/>
    </row>
    <row r="106" spans="1:250" customHeight="1" ht="17.1" s="2" customFormat="1">
      <c r="C106" s="29" t="s">
        <v>341</v>
      </c>
      <c r="D106" s="9"/>
      <c r="E106" s="9"/>
      <c r="F106" s="664">
        <v>20000</v>
      </c>
      <c r="G106" s="238"/>
      <c r="H106" s="616"/>
      <c r="I106" s="616"/>
      <c r="J106" s="616"/>
      <c r="K106" s="616"/>
      <c r="L106" s="650"/>
      <c r="M106" s="529"/>
      <c r="N106" s="529"/>
      <c r="O106" s="536"/>
    </row>
    <row r="107" spans="1:250" customHeight="1" ht="17.1" s="2" customFormat="1">
      <c r="C107" s="29" t="s">
        <v>343</v>
      </c>
      <c r="D107" s="9"/>
      <c r="E107" s="9"/>
      <c r="F107" s="665">
        <v>40000</v>
      </c>
      <c r="G107" s="238"/>
      <c r="H107" s="616"/>
      <c r="I107" s="616"/>
      <c r="J107" s="616"/>
      <c r="K107" s="616"/>
      <c r="L107" s="650"/>
      <c r="M107" s="529"/>
      <c r="N107" s="529"/>
      <c r="O107" s="536"/>
    </row>
    <row r="108" spans="1:250" customHeight="1" ht="17.1" s="2" customFormat="1">
      <c r="C108" s="5" t="s">
        <v>353</v>
      </c>
      <c r="D108" s="9"/>
      <c r="E108" s="9"/>
      <c r="F108" s="533"/>
      <c r="G108" s="238" t="s">
        <v>157</v>
      </c>
      <c r="H108" s="616">
        <f>6514024.58+1328650</f>
        <v>7842674.58</v>
      </c>
      <c r="I108" s="616">
        <f>2523998.02+603347.92</f>
        <v>3127345.94</v>
      </c>
      <c r="J108" s="616">
        <f>K108-I108</f>
        <v>2702254.06</v>
      </c>
      <c r="K108" s="616">
        <v>5829600</v>
      </c>
      <c r="L108" s="650">
        <f>SUM(F109:F110)</f>
        <v>4800000</v>
      </c>
      <c r="M108" s="529"/>
      <c r="N108" s="529"/>
      <c r="O108" s="536"/>
    </row>
    <row r="109" spans="1:250" customHeight="1" ht="17.1" s="2" customFormat="1">
      <c r="C109" s="28" t="s">
        <v>354</v>
      </c>
      <c r="D109" s="9"/>
      <c r="E109" s="9"/>
      <c r="F109" s="664">
        <v>4000000</v>
      </c>
      <c r="G109" s="238"/>
      <c r="H109" s="537"/>
      <c r="I109" s="537"/>
      <c r="J109" s="537"/>
      <c r="K109" s="537"/>
      <c r="L109" s="533"/>
      <c r="M109" s="529"/>
      <c r="N109" s="529"/>
      <c r="O109" s="536"/>
    </row>
    <row r="110" spans="1:250" customHeight="1" ht="17.1" s="2" customFormat="1">
      <c r="C110" s="28" t="s">
        <v>355</v>
      </c>
      <c r="D110" s="9"/>
      <c r="E110" s="9"/>
      <c r="F110" s="790">
        <v>800000</v>
      </c>
      <c r="G110" s="238"/>
      <c r="H110" s="541">
        <v>0</v>
      </c>
      <c r="I110" s="541">
        <v>0</v>
      </c>
      <c r="J110" s="541">
        <v>0</v>
      </c>
      <c r="K110" s="541">
        <v>0</v>
      </c>
      <c r="L110" s="557">
        <v>0</v>
      </c>
      <c r="M110" s="529"/>
      <c r="N110" s="529"/>
      <c r="O110" s="536"/>
    </row>
    <row r="111" spans="1:250" customHeight="1" ht="17.1" s="550" customFormat="1">
      <c r="A111" s="6" t="s">
        <v>75</v>
      </c>
      <c r="B111" s="6"/>
      <c r="C111" s="6"/>
      <c r="D111" s="6"/>
      <c r="E111" s="6"/>
      <c r="F111" s="583"/>
      <c r="G111" s="243"/>
      <c r="H111" s="776">
        <f>SUM(H96:H110)</f>
        <v>8064142.44</v>
      </c>
      <c r="I111" s="776">
        <f>SUM(I96:I110)</f>
        <v>3156225.88</v>
      </c>
      <c r="J111" s="776">
        <f>SUM(J96:J110)</f>
        <v>3226374.12</v>
      </c>
      <c r="K111" s="776">
        <f>SUM(K96:K110)</f>
        <v>6382600</v>
      </c>
      <c r="L111" s="777">
        <f>SUM(L96:L110)</f>
        <v>5121000</v>
      </c>
      <c r="M111" s="775"/>
      <c r="N111" s="775"/>
      <c r="O111" s="549"/>
    </row>
    <row r="112" spans="1:250" customHeight="1" ht="17.1" s="550" customFormat="1">
      <c r="A112" s="6" t="s">
        <v>160</v>
      </c>
      <c r="B112" s="6"/>
      <c r="C112" s="6"/>
      <c r="D112" s="6"/>
      <c r="E112" s="6"/>
      <c r="F112" s="583"/>
      <c r="G112" s="243"/>
      <c r="H112" s="776">
        <f>H111+H95+H73+H55</f>
        <v>10483531.23</v>
      </c>
      <c r="I112" s="776">
        <f>I111+I95+I73+I55</f>
        <v>3680393.29</v>
      </c>
      <c r="J112" s="776">
        <f>J111+J95+J73+J55</f>
        <v>6925606.71</v>
      </c>
      <c r="K112" s="776">
        <f>K111+K95+K73+K55</f>
        <v>10606000</v>
      </c>
      <c r="L112" s="777">
        <f>L111+L95+L73+L55</f>
        <v>8254000</v>
      </c>
      <c r="M112" s="775"/>
      <c r="N112" s="775"/>
      <c r="O112" s="549"/>
    </row>
    <row r="113" spans="1:250" customHeight="1" ht="17.1" s="550" customFormat="1">
      <c r="A113" s="6" t="s">
        <v>161</v>
      </c>
      <c r="B113" s="6"/>
      <c r="C113" s="6"/>
      <c r="D113" s="6"/>
      <c r="E113" s="6"/>
      <c r="F113" s="583"/>
      <c r="G113" s="243"/>
      <c r="H113" s="776">
        <f>+H112+H44</f>
        <v>41443450.57</v>
      </c>
      <c r="I113" s="776">
        <f>+I112+I44</f>
        <v>18123221.31</v>
      </c>
      <c r="J113" s="776">
        <f>+J112+J44</f>
        <v>27630395.65</v>
      </c>
      <c r="K113" s="776">
        <f>+K112+K44</f>
        <v>45753616.96</v>
      </c>
      <c r="L113" s="777">
        <f>+L112+L44</f>
        <v>44379430.55</v>
      </c>
      <c r="M113" s="775"/>
      <c r="N113" s="775"/>
      <c r="O113" s="549"/>
    </row>
    <row r="114" spans="1:250" customHeight="1" ht="15.95" s="550" customFormat="1">
      <c r="A114" s="543"/>
      <c r="B114" s="543"/>
      <c r="C114" s="543"/>
      <c r="D114" s="543"/>
      <c r="E114" s="543"/>
      <c r="F114" s="544"/>
      <c r="G114" s="545"/>
      <c r="H114" s="546"/>
      <c r="I114" s="546"/>
      <c r="J114" s="546"/>
      <c r="K114" s="546"/>
      <c r="L114" s="624"/>
      <c r="M114" s="775"/>
      <c r="N114" s="775"/>
      <c r="O114" s="549"/>
    </row>
    <row r="115" spans="1:250" customHeight="1" ht="21.95" s="550" customFormat="1">
      <c r="A115" s="6"/>
      <c r="B115" s="6"/>
      <c r="C115" s="6"/>
      <c r="D115" s="6"/>
      <c r="E115" s="6"/>
      <c r="F115" s="583"/>
      <c r="G115" s="243"/>
      <c r="H115" s="627"/>
      <c r="I115" s="627"/>
      <c r="J115" s="791"/>
      <c r="K115" s="627"/>
      <c r="L115" s="629"/>
      <c r="M115" s="775"/>
      <c r="N115" s="775"/>
      <c r="O115" s="549"/>
    </row>
    <row r="116" spans="1:250" customHeight="1" ht="21.95" s="550" customFormat="1">
      <c r="A116" s="58" t="s">
        <v>162</v>
      </c>
      <c r="B116" s="6"/>
      <c r="C116" s="6"/>
      <c r="D116" s="6"/>
      <c r="E116" s="6"/>
      <c r="F116" s="583"/>
      <c r="G116" s="243"/>
      <c r="H116" s="627"/>
      <c r="I116" s="627"/>
      <c r="J116" s="791"/>
      <c r="K116" s="627"/>
      <c r="L116" s="629"/>
      <c r="M116" s="775"/>
      <c r="N116" s="775"/>
      <c r="O116" s="549"/>
    </row>
    <row r="117" spans="1:250" customHeight="1" ht="21.95" s="550" customFormat="1">
      <c r="A117" s="6"/>
      <c r="B117" s="6"/>
      <c r="C117" s="5" t="s">
        <v>163</v>
      </c>
      <c r="D117" s="6"/>
      <c r="E117" s="6"/>
      <c r="F117" s="583"/>
      <c r="G117" s="213" t="s">
        <v>164</v>
      </c>
      <c r="H117" s="771">
        <v>53995</v>
      </c>
      <c r="I117" s="771">
        <v>0</v>
      </c>
      <c r="J117" s="771">
        <f>K117-I117</f>
        <v>309000</v>
      </c>
      <c r="K117" s="771">
        <v>309000</v>
      </c>
      <c r="L117" s="792">
        <v>25000</v>
      </c>
      <c r="M117" s="775"/>
      <c r="N117" s="775"/>
      <c r="O117" s="549"/>
    </row>
    <row r="118" spans="1:250" customHeight="1" ht="21.95" s="550" customFormat="1">
      <c r="A118" s="6"/>
      <c r="B118" s="6"/>
      <c r="C118" s="5" t="s">
        <v>313</v>
      </c>
      <c r="D118" s="6"/>
      <c r="E118" s="6"/>
      <c r="F118" s="583"/>
      <c r="G118" s="213" t="s">
        <v>167</v>
      </c>
      <c r="H118" s="537">
        <v>84998</v>
      </c>
      <c r="I118" s="537">
        <v>0</v>
      </c>
      <c r="J118" s="616">
        <f>K118-I118</f>
        <v>590000</v>
      </c>
      <c r="K118" s="537">
        <v>590000</v>
      </c>
      <c r="L118" s="650">
        <v>25000</v>
      </c>
      <c r="M118" s="775"/>
      <c r="N118" s="775"/>
      <c r="O118" s="549"/>
    </row>
    <row r="119" spans="1:250" customHeight="1" ht="21.95" s="550" customFormat="1">
      <c r="A119" s="6"/>
      <c r="B119" s="6"/>
      <c r="C119" s="5" t="s">
        <v>356</v>
      </c>
      <c r="D119" s="6"/>
      <c r="E119" s="6"/>
      <c r="F119" s="583"/>
      <c r="G119" s="213" t="s">
        <v>357</v>
      </c>
      <c r="H119" s="537">
        <v>116272000</v>
      </c>
      <c r="I119" s="537">
        <v>0</v>
      </c>
      <c r="J119" s="616">
        <v>0</v>
      </c>
      <c r="K119" s="537">
        <v>0</v>
      </c>
      <c r="L119" s="650">
        <v>0</v>
      </c>
      <c r="M119" s="775"/>
      <c r="N119" s="775"/>
      <c r="O119" s="549"/>
    </row>
    <row r="120" spans="1:250" customHeight="1" ht="21.95" s="550" customFormat="1">
      <c r="A120" s="6"/>
      <c r="B120" s="6"/>
      <c r="C120" s="5" t="s">
        <v>210</v>
      </c>
      <c r="D120" s="6"/>
      <c r="E120" s="6"/>
      <c r="F120" s="583"/>
      <c r="G120" s="213" t="s">
        <v>171</v>
      </c>
      <c r="H120" s="619">
        <v>29900</v>
      </c>
      <c r="I120" s="619">
        <v>0</v>
      </c>
      <c r="J120" s="793">
        <f>K120-I120</f>
        <v>100000</v>
      </c>
      <c r="K120" s="619">
        <v>100000</v>
      </c>
      <c r="L120" s="755">
        <v>0</v>
      </c>
      <c r="M120" s="775"/>
      <c r="N120" s="775"/>
      <c r="O120" s="549"/>
    </row>
    <row r="121" spans="1:250" customHeight="1" ht="21.95" s="550" customFormat="1">
      <c r="A121" s="6" t="s">
        <v>172</v>
      </c>
      <c r="B121" s="6"/>
      <c r="C121" s="29"/>
      <c r="D121" s="6"/>
      <c r="E121" s="6"/>
      <c r="F121" s="583"/>
      <c r="G121" s="243"/>
      <c r="H121" s="776">
        <f>SUM(H117:H120)</f>
        <v>116440893</v>
      </c>
      <c r="I121" s="776">
        <f>SUM(I117:I120)</f>
        <v>0</v>
      </c>
      <c r="J121" s="776">
        <f>SUM(J117:J120)</f>
        <v>999000</v>
      </c>
      <c r="K121" s="776">
        <f>SUM(K117:K120)</f>
        <v>999000</v>
      </c>
      <c r="L121" s="777">
        <f>SUM(L117:L120)</f>
        <v>50000</v>
      </c>
      <c r="M121" s="775"/>
      <c r="N121" s="775"/>
      <c r="O121" s="549"/>
    </row>
    <row r="122" spans="1:250" customHeight="1" ht="21.95" s="550" customFormat="1">
      <c r="A122" s="6"/>
      <c r="B122" s="6"/>
      <c r="C122" s="29"/>
      <c r="D122" s="6"/>
      <c r="E122" s="6"/>
      <c r="F122" s="583"/>
      <c r="G122" s="243"/>
      <c r="H122" s="627"/>
      <c r="I122" s="627"/>
      <c r="J122" s="627"/>
      <c r="K122" s="627"/>
      <c r="L122" s="629"/>
      <c r="M122" s="775"/>
      <c r="N122" s="775"/>
      <c r="O122" s="549"/>
    </row>
    <row r="123" spans="1:250" customHeight="1" ht="21.95" s="550" customFormat="1">
      <c r="A123" s="6"/>
      <c r="B123" s="6"/>
      <c r="C123" s="29"/>
      <c r="D123" s="6"/>
      <c r="E123" s="6"/>
      <c r="F123" s="583"/>
      <c r="G123" s="243"/>
      <c r="H123" s="627"/>
      <c r="I123" s="627"/>
      <c r="J123" s="627"/>
      <c r="K123" s="627"/>
      <c r="L123" s="629"/>
      <c r="M123" s="775"/>
      <c r="N123" s="775"/>
      <c r="O123" s="549"/>
    </row>
    <row r="124" spans="1:250" customHeight="1" ht="21.95" s="550" customFormat="1">
      <c r="A124" s="6" t="s">
        <v>252</v>
      </c>
      <c r="B124" s="6"/>
      <c r="C124" s="6"/>
      <c r="D124" s="6"/>
      <c r="E124" s="6"/>
      <c r="F124" s="583"/>
      <c r="G124" s="243"/>
      <c r="H124" s="794">
        <f>+H121+H113</f>
        <v>157884343.57</v>
      </c>
      <c r="I124" s="794">
        <f>+I121+I113</f>
        <v>18123221.31</v>
      </c>
      <c r="J124" s="794">
        <f>+J121+J113</f>
        <v>28629395.65</v>
      </c>
      <c r="K124" s="794">
        <f>+K121+K113</f>
        <v>46752616.96</v>
      </c>
      <c r="L124" s="795">
        <f>+L121+L113</f>
        <v>44429430.55</v>
      </c>
      <c r="M124" s="775"/>
      <c r="N124" s="775"/>
      <c r="O124" s="549"/>
    </row>
    <row r="125" spans="1:250" customHeight="1" ht="21.95" s="550" customFormat="1">
      <c r="A125" s="6"/>
      <c r="B125" s="6"/>
      <c r="C125" s="6"/>
      <c r="D125" s="6"/>
      <c r="E125" s="6"/>
      <c r="F125" s="583"/>
      <c r="G125" s="243"/>
      <c r="H125" s="656"/>
      <c r="I125" s="656"/>
      <c r="J125" s="656"/>
      <c r="K125" s="656"/>
      <c r="L125" s="688"/>
      <c r="M125" s="775"/>
      <c r="N125" s="775"/>
      <c r="O125" s="549"/>
    </row>
    <row r="126" spans="1:250" customHeight="1" ht="21.95" s="550" customFormat="1">
      <c r="A126" s="6"/>
      <c r="B126" s="6"/>
      <c r="C126" s="6"/>
      <c r="D126" s="6"/>
      <c r="E126" s="6"/>
      <c r="F126" s="583"/>
      <c r="G126" s="243"/>
      <c r="H126" s="656"/>
      <c r="I126" s="656"/>
      <c r="J126" s="656"/>
      <c r="K126" s="656"/>
      <c r="L126" s="688"/>
      <c r="M126" s="775"/>
      <c r="N126" s="775"/>
      <c r="O126" s="549"/>
    </row>
    <row r="127" spans="1:250" customHeight="1" ht="21.95" s="520" customFormat="1">
      <c r="A127" s="163"/>
      <c r="B127" s="163"/>
      <c r="C127" s="163"/>
      <c r="D127" s="163"/>
      <c r="E127" s="163"/>
      <c r="F127" s="796"/>
      <c r="G127" s="446"/>
      <c r="H127" s="797"/>
      <c r="I127" s="797"/>
      <c r="J127" s="797"/>
      <c r="K127" s="797"/>
      <c r="L127" s="798"/>
      <c r="M127" s="490"/>
      <c r="N127" s="490"/>
      <c r="O127" s="519"/>
    </row>
    <row r="128" spans="1:250" customHeight="1" ht="15.95" s="626" customFormat="1">
      <c r="A128" s="9"/>
      <c r="B128" s="9"/>
      <c r="C128" s="9"/>
      <c r="D128" s="9"/>
      <c r="E128" s="9"/>
      <c r="F128" s="533"/>
      <c r="G128" s="320"/>
      <c r="H128" s="591"/>
      <c r="I128" s="591"/>
      <c r="J128" s="591"/>
      <c r="K128" s="591"/>
      <c r="L128" s="591"/>
      <c r="M128" s="799"/>
      <c r="N128" s="799"/>
      <c r="O128" s="800"/>
    </row>
    <row r="129" spans="1:250" customHeight="1" ht="15.95" s="626" customFormat="1">
      <c r="A129" s="9"/>
      <c r="B129" s="9"/>
      <c r="C129" s="9"/>
      <c r="D129" s="9"/>
      <c r="E129" s="9"/>
      <c r="F129" s="533"/>
      <c r="G129" s="320"/>
      <c r="H129" s="591"/>
      <c r="I129" s="591"/>
      <c r="J129" s="591"/>
      <c r="K129" s="591"/>
      <c r="L129" s="591"/>
      <c r="M129" s="799"/>
      <c r="N129" s="799"/>
      <c r="O129" s="800"/>
    </row>
    <row r="130" spans="1:250" customHeight="1" ht="15.95" s="626" customFormat="1">
      <c r="A130" s="9"/>
      <c r="B130" s="9"/>
      <c r="C130" s="9"/>
      <c r="D130" s="9"/>
      <c r="E130" s="9"/>
      <c r="F130" s="533"/>
      <c r="G130" s="320"/>
      <c r="H130" s="591"/>
      <c r="I130" s="591"/>
      <c r="J130" s="591"/>
      <c r="K130" s="591"/>
      <c r="L130" s="591"/>
      <c r="M130" s="799"/>
      <c r="N130" s="799"/>
      <c r="O130" s="800"/>
    </row>
    <row r="131" spans="1:250" customHeight="1" ht="15.95" s="22" customFormat="1">
      <c r="A131" s="21"/>
      <c r="B131" s="21"/>
      <c r="C131" s="21"/>
      <c r="D131" s="21"/>
      <c r="E131" s="21"/>
      <c r="F131" s="506"/>
      <c r="G131" s="181"/>
      <c r="H131" s="181"/>
      <c r="I131" s="181"/>
      <c r="J131" s="181"/>
      <c r="K131" s="181"/>
      <c r="L131" s="193"/>
      <c r="M131" s="406"/>
      <c r="N131" s="406"/>
      <c r="O131" s="522"/>
    </row>
    <row r="132" spans="1:250" customHeight="1" ht="15.95">
      <c r="A132" s="1499" t="s">
        <v>341</v>
      </c>
      <c r="B132" s="1499"/>
      <c r="C132" s="1499"/>
      <c r="D132" s="1499"/>
      <c r="E132" s="1499"/>
      <c r="F132" s="1499"/>
      <c r="G132" s="213"/>
      <c r="H132" s="586"/>
      <c r="I132" s="586"/>
      <c r="J132" s="586"/>
      <c r="K132" s="801"/>
      <c r="L132" s="9"/>
    </row>
    <row r="133" spans="1:250" customHeight="1" ht="15.95" s="805" customFormat="1">
      <c r="A133" s="802" t="s">
        <v>204</v>
      </c>
      <c r="B133" s="15"/>
      <c r="C133" s="15"/>
      <c r="D133" s="15"/>
      <c r="E133" s="15"/>
      <c r="F133" s="525"/>
      <c r="G133" s="526"/>
      <c r="H133" s="586"/>
      <c r="I133" s="586"/>
      <c r="J133" s="586"/>
      <c r="K133" s="801"/>
      <c r="L133" s="9"/>
      <c r="M133" s="803"/>
      <c r="N133" s="803"/>
      <c r="O133" s="804"/>
    </row>
    <row r="134" spans="1:250" customHeight="1" ht="15.95" s="531" customFormat="1">
      <c r="A134" s="806"/>
      <c r="B134" s="15" t="s">
        <v>358</v>
      </c>
      <c r="C134" s="15"/>
      <c r="D134" s="15"/>
      <c r="E134" s="15"/>
      <c r="F134" s="525"/>
      <c r="G134" s="238" t="s">
        <v>359</v>
      </c>
      <c r="H134" s="771">
        <v>513340.95</v>
      </c>
      <c r="I134" s="771">
        <f>2551049.84+227530</f>
        <v>2778579.84</v>
      </c>
      <c r="J134" s="771">
        <f>K134-I134</f>
        <v>516722288.16</v>
      </c>
      <c r="K134" s="771">
        <f>5867868+360000+40000+240000+1000000+1200000+400000+100000+164000+75000+70000+38000+193000+415000+204000+100000+24000+205000+1500000+300000+430000+154000+750000+2000000+500000+171000+500000+2000000+500000+5000000+5000000+3000000+2000000+5000000+5000000+5000000+5000000+5000000+5000000+5000000+5000000+15000000+5000000+15000000+5000000+5000000+5000000+5000000+5000000+5000000+5000000+5000000+3000000+2000000+5000000+15000000+5000000+5000000+5000000+5000000+5000000+5000000+5000000+5000000+5000000+3500000+500000+500000+400000+100000+5000000+10000000+5000000+5000000+5000000+5000000+12000000+3000000+5000000+5000000+5000000+5000000+5000000+5000000+5000000+20000000+2000000+3000000+5000000+5000000+20000000+5000000+40000000+40000000+20000000+10000000+35000000+5000000</f>
        <v>519500868</v>
      </c>
      <c r="L134" s="772">
        <v>0</v>
      </c>
      <c r="M134" s="807"/>
      <c r="N134" s="807"/>
      <c r="O134" s="530"/>
    </row>
    <row r="135" spans="1:250" customHeight="1" ht="15.95" s="531" customFormat="1">
      <c r="A135" s="806"/>
      <c r="B135" s="28" t="s">
        <v>360</v>
      </c>
      <c r="C135" s="15"/>
      <c r="D135" s="15"/>
      <c r="E135" s="15"/>
      <c r="F135" s="525"/>
      <c r="G135" s="238"/>
      <c r="H135" s="808">
        <v>0</v>
      </c>
      <c r="I135" s="808">
        <v>0</v>
      </c>
      <c r="J135" s="808">
        <v>0</v>
      </c>
      <c r="K135" s="808">
        <v>0</v>
      </c>
      <c r="L135" s="809">
        <v>0</v>
      </c>
      <c r="M135" s="807"/>
      <c r="N135" s="807"/>
      <c r="O135" s="530"/>
    </row>
    <row r="136" spans="1:250" customHeight="1" ht="15.95" s="550" customFormat="1">
      <c r="A136" s="6" t="s">
        <v>361</v>
      </c>
      <c r="B136" s="6"/>
      <c r="C136" s="6"/>
      <c r="D136" s="6"/>
      <c r="E136" s="6"/>
      <c r="F136" s="583"/>
      <c r="G136" s="712"/>
      <c r="H136" s="776">
        <f>SUM(H134:H135)</f>
        <v>513340.95</v>
      </c>
      <c r="I136" s="776">
        <f>SUM(I134:I135)</f>
        <v>2778579.84</v>
      </c>
      <c r="J136" s="776">
        <f>SUM(J134:J135)</f>
        <v>516722288.16</v>
      </c>
      <c r="K136" s="776">
        <f>SUM(K134:K135)</f>
        <v>519500868</v>
      </c>
      <c r="L136" s="810">
        <f>SUM(L134:L135)</f>
        <v>0</v>
      </c>
      <c r="M136" s="775"/>
      <c r="N136" s="775"/>
      <c r="O136" s="549"/>
    </row>
    <row r="137" spans="1:250" customHeight="1" ht="15.95" s="550" customFormat="1">
      <c r="A137" s="6"/>
      <c r="B137" s="6"/>
      <c r="C137" s="6"/>
      <c r="D137" s="6"/>
      <c r="E137" s="6"/>
      <c r="F137" s="583"/>
      <c r="G137" s="712"/>
      <c r="H137" s="811"/>
      <c r="I137" s="811"/>
      <c r="J137" s="811"/>
      <c r="K137" s="811"/>
      <c r="L137" s="812"/>
      <c r="M137" s="775"/>
      <c r="N137" s="775"/>
      <c r="O137" s="549"/>
    </row>
    <row r="138" spans="1:250" customHeight="1" ht="15.95" s="550" customFormat="1">
      <c r="A138" s="6"/>
      <c r="B138" s="6"/>
      <c r="C138" s="6"/>
      <c r="D138" s="6"/>
      <c r="E138" s="6"/>
      <c r="F138" s="583"/>
      <c r="G138" s="712"/>
      <c r="H138" s="811"/>
      <c r="I138" s="811"/>
      <c r="J138" s="811"/>
      <c r="K138" s="811"/>
      <c r="L138" s="812"/>
      <c r="M138" s="775"/>
      <c r="N138" s="775"/>
      <c r="O138" s="549"/>
    </row>
    <row r="139" spans="1:250" customHeight="1" ht="15.95" s="550" customFormat="1">
      <c r="A139" s="6"/>
      <c r="B139" s="6"/>
      <c r="C139" s="6"/>
      <c r="D139" s="6"/>
      <c r="E139" s="6"/>
      <c r="F139" s="583"/>
      <c r="G139" s="712"/>
      <c r="H139" s="811"/>
      <c r="I139" s="811"/>
      <c r="J139" s="811"/>
      <c r="K139" s="811"/>
      <c r="L139" s="812"/>
      <c r="M139" s="775"/>
      <c r="N139" s="775"/>
      <c r="O139" s="549"/>
    </row>
    <row r="140" spans="1:250" customHeight="1" ht="15.95" s="2" customFormat="1">
      <c r="A140" s="569"/>
      <c r="B140" s="569"/>
      <c r="C140" s="73"/>
      <c r="D140" s="73"/>
      <c r="E140" s="73"/>
      <c r="F140" s="813"/>
      <c r="G140" s="814"/>
      <c r="H140" s="815"/>
      <c r="I140" s="815"/>
      <c r="J140" s="815"/>
      <c r="K140" s="573"/>
      <c r="L140" s="813"/>
      <c r="M140" s="529"/>
      <c r="N140" s="529"/>
      <c r="O140" s="536"/>
    </row>
    <row r="141" spans="1:250" customHeight="1" ht="18" s="273" customFormat="1">
      <c r="A141" s="6"/>
      <c r="B141" s="6"/>
      <c r="G141" s="508"/>
      <c r="H141" s="508"/>
    </row>
    <row r="142" spans="1:250" customHeight="1" ht="18" s="9" customFormat="1">
      <c r="A142" s="9" t="s">
        <v>182</v>
      </c>
      <c r="I142" s="509"/>
      <c r="J142" s="509"/>
      <c r="K142" s="509"/>
      <c r="L142" s="509"/>
    </row>
    <row r="143" spans="1:250" customHeight="1" ht="18" s="9" customFormat="1">
      <c r="G143" s="510"/>
      <c r="H143" s="510"/>
      <c r="I143" s="510"/>
      <c r="J143" s="510"/>
      <c r="K143" s="510"/>
      <c r="L143" s="510"/>
    </row>
    <row r="144" spans="1:250" customHeight="1" ht="18" s="9" customFormat="1">
      <c r="A144" s="1493" t="s">
        <v>183</v>
      </c>
      <c r="B144" s="1493"/>
      <c r="C144" s="1493"/>
      <c r="D144" s="511"/>
      <c r="E144" s="511"/>
      <c r="F144" s="512" t="s">
        <v>184</v>
      </c>
      <c r="G144" s="509"/>
      <c r="H144" s="509"/>
      <c r="I144" s="509"/>
      <c r="J144" s="510" t="s">
        <v>185</v>
      </c>
      <c r="K144" s="1494"/>
      <c r="L144" s="1494"/>
    </row>
    <row r="145" spans="1:250" customHeight="1" ht="18" s="9" customFormat="1"/>
    <row r="146" spans="1:250" customHeight="1" ht="18" s="9" customFormat="1"/>
    <row r="147" spans="1:250" customHeight="1" ht="18" s="11" customFormat="1">
      <c r="A147" s="1489" t="s">
        <v>362</v>
      </c>
      <c r="B147" s="1489"/>
      <c r="C147" s="1489"/>
      <c r="D147" s="1489"/>
      <c r="E147" s="1489"/>
      <c r="F147" s="1489" t="s">
        <v>187</v>
      </c>
      <c r="G147" s="1489"/>
      <c r="H147" s="1489"/>
      <c r="I147" s="1489"/>
      <c r="J147" s="1489" t="s">
        <v>186</v>
      </c>
      <c r="K147" s="1489"/>
      <c r="L147" s="1489"/>
    </row>
    <row r="148" spans="1:250" customHeight="1" ht="12" s="11" customFormat="1">
      <c r="A148" s="1468" t="s">
        <v>363</v>
      </c>
      <c r="B148" s="1468"/>
      <c r="C148" s="1468"/>
      <c r="D148" s="1468"/>
      <c r="E148" s="1468"/>
      <c r="F148" s="1468" t="s">
        <v>189</v>
      </c>
      <c r="G148" s="1468"/>
      <c r="H148" s="1468"/>
      <c r="I148" s="1468"/>
      <c r="J148" s="1468" t="s">
        <v>188</v>
      </c>
      <c r="K148" s="1468"/>
      <c r="L148" s="1468"/>
    </row>
    <row r="149" spans="1:250" customHeight="1" ht="12" s="9" customFormat="1">
      <c r="A149" s="1468" t="s">
        <v>364</v>
      </c>
      <c r="B149" s="1468"/>
      <c r="C149" s="1468"/>
      <c r="D149" s="1468"/>
      <c r="E149" s="1468"/>
      <c r="F149" s="1468" t="s">
        <v>190</v>
      </c>
      <c r="G149" s="1468"/>
      <c r="H149" s="1468"/>
      <c r="I149" s="1468"/>
      <c r="J149" s="1468"/>
      <c r="K149" s="1468"/>
      <c r="L149" s="1468"/>
    </row>
    <row r="150" spans="1:250" customHeight="1" ht="15.95"/>
    <row r="151" spans="1:250" customHeight="1" ht="15.95"/>
    <row r="152" spans="1:250" customHeight="1" ht="15.95" s="11" customFormat="1">
      <c r="A152" s="342"/>
      <c r="B152" s="343"/>
      <c r="C152" s="342"/>
      <c r="D152" s="177"/>
      <c r="E152" s="177"/>
      <c r="F152" s="816"/>
      <c r="G152" s="344"/>
      <c r="H152" s="22"/>
      <c r="I152" s="22"/>
      <c r="J152" s="22"/>
      <c r="M152" s="529"/>
      <c r="N152" s="529"/>
      <c r="O152" s="817"/>
    </row>
    <row r="153" spans="1:250" customHeight="1" ht="15.95">
      <c r="A153" s="9"/>
      <c r="B153" s="9"/>
      <c r="C153" s="9"/>
      <c r="D153" s="9"/>
      <c r="E153" s="9"/>
      <c r="F153" s="599"/>
      <c r="G153" s="9"/>
      <c r="H153" s="9"/>
      <c r="I153" s="387">
        <f>I136+I124</f>
        <v>20901801.15</v>
      </c>
      <c r="J153" s="387">
        <f>J136+J124</f>
        <v>545351683.81</v>
      </c>
      <c r="K153" s="387">
        <f>K136+K124</f>
        <v>566253484.96</v>
      </c>
      <c r="L153" s="818"/>
    </row>
    <row r="154" spans="1:250" customHeight="1" ht="15.95">
      <c r="A154" s="388"/>
      <c r="B154" s="9"/>
      <c r="C154" s="9"/>
      <c r="D154" s="9"/>
      <c r="E154" s="9"/>
      <c r="F154" s="599"/>
      <c r="G154" s="9"/>
      <c r="H154" s="9"/>
      <c r="I154" s="9"/>
      <c r="J154" s="9"/>
      <c r="K154" s="387">
        <f>I153+J153</f>
        <v>566253484.96</v>
      </c>
      <c r="L154" s="818"/>
    </row>
    <row r="155" spans="1:250" customHeight="1" ht="15.95">
      <c r="K155" s="386">
        <f>K153-K154</f>
        <v>0</v>
      </c>
    </row>
    <row r="156" spans="1:250" customHeight="1" ht="15.95"/>
    <row r="157" spans="1:250" customHeight="1" ht="15.95"/>
    <row r="158" spans="1:250" customHeight="1" ht="15.95"/>
    <row r="159" spans="1:250" customHeight="1" ht="15.95"/>
    <row r="160" spans="1:250" customHeight="1" ht="15.95" s="626" customFormat="1">
      <c r="A160" s="9"/>
      <c r="B160" s="9"/>
      <c r="C160" s="9"/>
      <c r="D160" s="9"/>
      <c r="E160" s="9"/>
      <c r="F160" s="533"/>
      <c r="G160" s="320"/>
      <c r="H160" s="591"/>
      <c r="I160" s="591"/>
      <c r="J160" s="591"/>
      <c r="K160" s="591"/>
      <c r="L160" s="591"/>
      <c r="M160" s="799"/>
      <c r="N160" s="799"/>
      <c r="O160" s="800"/>
    </row>
    <row r="161" spans="1:250" customHeight="1" ht="15.95" s="626" customFormat="1">
      <c r="A161" s="9"/>
      <c r="B161" s="9"/>
      <c r="C161" s="9"/>
      <c r="D161" s="9"/>
      <c r="E161" s="9"/>
      <c r="F161" s="533"/>
      <c r="G161" s="320"/>
      <c r="H161" s="591"/>
      <c r="I161" s="591"/>
      <c r="J161" s="591"/>
      <c r="K161" s="591"/>
      <c r="L161" s="591"/>
      <c r="M161" s="799"/>
      <c r="N161" s="799"/>
      <c r="O161" s="800"/>
    </row>
    <row r="162" spans="1:250" customHeight="1" ht="15.95" s="626" customFormat="1">
      <c r="A162" s="9"/>
      <c r="B162" s="9"/>
      <c r="C162" s="9"/>
      <c r="D162" s="9"/>
      <c r="E162" s="9"/>
      <c r="F162" s="533"/>
      <c r="G162" s="320"/>
      <c r="H162" s="591"/>
      <c r="I162" s="591"/>
      <c r="J162" s="591"/>
      <c r="K162" s="591"/>
      <c r="L162" s="591"/>
      <c r="M162" s="799"/>
      <c r="N162" s="799"/>
      <c r="O162" s="800"/>
    </row>
    <row r="163" spans="1:250" customHeight="1" ht="15.95" s="626" customFormat="1">
      <c r="A163" s="9"/>
      <c r="B163" s="9"/>
      <c r="C163" s="9"/>
      <c r="D163" s="9"/>
      <c r="E163" s="9"/>
      <c r="F163" s="533"/>
      <c r="G163" s="320"/>
      <c r="H163" s="591"/>
      <c r="I163" s="591"/>
      <c r="J163" s="591"/>
      <c r="K163" s="591"/>
      <c r="L163" s="591"/>
      <c r="M163" s="799"/>
      <c r="N163" s="799"/>
      <c r="O163" s="800"/>
    </row>
    <row r="164" spans="1:250" customHeight="1" ht="15.95" s="626" customFormat="1">
      <c r="A164" s="9"/>
      <c r="B164" s="9"/>
      <c r="C164" s="9"/>
      <c r="D164" s="9"/>
      <c r="E164" s="9"/>
      <c r="F164" s="533"/>
      <c r="G164" s="320"/>
      <c r="H164" s="591"/>
      <c r="I164" s="591"/>
      <c r="J164" s="591"/>
      <c r="K164" s="591"/>
      <c r="L164" s="591"/>
      <c r="M164" s="799"/>
      <c r="N164" s="799"/>
      <c r="O164" s="800"/>
    </row>
    <row r="165" spans="1:250" customHeight="1" ht="15.95" s="626" customFormat="1">
      <c r="A165" s="9"/>
      <c r="B165" s="9"/>
      <c r="C165" s="9"/>
      <c r="D165" s="9"/>
      <c r="E165" s="9"/>
      <c r="F165" s="533"/>
      <c r="G165" s="320"/>
      <c r="H165" s="591"/>
      <c r="I165" s="591"/>
      <c r="J165" s="591"/>
      <c r="K165" s="591"/>
      <c r="L165" s="591"/>
      <c r="M165" s="799"/>
      <c r="N165" s="799"/>
      <c r="O165" s="800"/>
    </row>
    <row r="166" spans="1:250" customHeight="1" ht="15.95" s="626" customFormat="1">
      <c r="A166" s="9"/>
      <c r="B166" s="9"/>
      <c r="C166" s="9"/>
      <c r="D166" s="9"/>
      <c r="E166" s="9"/>
      <c r="F166" s="533"/>
      <c r="G166" s="320"/>
      <c r="H166" s="591"/>
      <c r="I166" s="591"/>
      <c r="J166" s="591"/>
      <c r="K166" s="591"/>
      <c r="L166" s="591"/>
      <c r="M166" s="799"/>
      <c r="N166" s="799"/>
      <c r="O166" s="800"/>
    </row>
    <row r="167" spans="1:250" customHeight="1" ht="15.95" s="626" customFormat="1">
      <c r="A167" s="9"/>
      <c r="B167" s="9"/>
      <c r="C167" s="9"/>
      <c r="D167" s="9"/>
      <c r="E167" s="9"/>
      <c r="F167" s="533"/>
      <c r="G167" s="320"/>
      <c r="H167" s="591"/>
      <c r="I167" s="591"/>
      <c r="J167" s="591"/>
      <c r="K167" s="591"/>
      <c r="L167" s="591"/>
      <c r="M167" s="799"/>
      <c r="N167" s="799"/>
      <c r="O167" s="800"/>
    </row>
    <row r="168" spans="1:250" customHeight="1" ht="15.95" s="626" customFormat="1">
      <c r="A168" s="9"/>
      <c r="B168" s="9"/>
      <c r="C168" s="9"/>
      <c r="D168" s="9"/>
      <c r="E168" s="9"/>
      <c r="F168" s="533"/>
      <c r="G168" s="320"/>
      <c r="H168" s="591"/>
      <c r="I168" s="591"/>
      <c r="J168" s="591"/>
      <c r="K168" s="591"/>
      <c r="L168" s="591"/>
      <c r="M168" s="799"/>
      <c r="N168" s="799"/>
      <c r="O168" s="800"/>
    </row>
    <row r="169" spans="1:250" customHeight="1" ht="15.95" s="626" customFormat="1">
      <c r="A169" s="9"/>
      <c r="B169" s="9"/>
      <c r="C169" s="9"/>
      <c r="D169" s="9"/>
      <c r="E169" s="9"/>
      <c r="F169" s="533"/>
      <c r="G169" s="320"/>
      <c r="H169" s="591"/>
      <c r="I169" s="591"/>
      <c r="J169" s="591"/>
      <c r="K169" s="591"/>
      <c r="L169" s="591"/>
      <c r="M169" s="799"/>
      <c r="N169" s="799"/>
      <c r="O169" s="800"/>
    </row>
    <row r="170" spans="1:250" customHeight="1" ht="15.95" s="626" customFormat="1">
      <c r="A170" s="9"/>
      <c r="B170" s="9"/>
      <c r="C170" s="9"/>
      <c r="D170" s="9"/>
      <c r="E170" s="9"/>
      <c r="F170" s="533"/>
      <c r="G170" s="320"/>
      <c r="H170" s="591"/>
      <c r="I170" s="591"/>
      <c r="J170" s="591"/>
      <c r="K170" s="591"/>
      <c r="L170" s="591"/>
      <c r="M170" s="799"/>
      <c r="N170" s="799"/>
      <c r="O170" s="800"/>
    </row>
    <row r="171" spans="1:250" customHeight="1" ht="15.95" s="626" customFormat="1">
      <c r="A171" s="9"/>
      <c r="B171" s="9"/>
      <c r="C171" s="9"/>
      <c r="D171" s="9"/>
      <c r="E171" s="9"/>
      <c r="F171" s="533"/>
      <c r="G171" s="320"/>
      <c r="H171" s="591"/>
      <c r="I171" s="591"/>
      <c r="J171" s="591"/>
      <c r="K171" s="591"/>
      <c r="L171" s="591"/>
      <c r="M171" s="799"/>
      <c r="N171" s="799"/>
      <c r="O171" s="800"/>
    </row>
    <row r="172" spans="1:250" customHeight="1" ht="15.95" s="626" customFormat="1">
      <c r="A172" s="9"/>
      <c r="B172" s="9"/>
      <c r="C172" s="9"/>
      <c r="D172" s="9"/>
      <c r="E172" s="9"/>
      <c r="F172" s="533"/>
      <c r="G172" s="320"/>
      <c r="H172" s="591"/>
      <c r="I172" s="591"/>
      <c r="J172" s="591"/>
      <c r="K172" s="591"/>
      <c r="L172" s="591"/>
      <c r="M172" s="799"/>
      <c r="N172" s="799"/>
      <c r="O172" s="800"/>
    </row>
    <row r="173" spans="1:250" customHeight="1" ht="15.95" s="626" customFormat="1">
      <c r="A173" s="9"/>
      <c r="B173" s="9"/>
      <c r="C173" s="9"/>
      <c r="D173" s="9"/>
      <c r="E173" s="9"/>
      <c r="F173" s="533"/>
      <c r="G173" s="320"/>
      <c r="H173" s="591"/>
      <c r="I173" s="591"/>
      <c r="J173" s="591"/>
      <c r="K173" s="591"/>
      <c r="L173" s="591"/>
      <c r="M173" s="799"/>
      <c r="N173" s="799"/>
      <c r="O173" s="800"/>
    </row>
    <row r="174" spans="1:250" customHeight="1" ht="15.95" s="626" customFormat="1">
      <c r="A174" s="9"/>
      <c r="B174" s="9"/>
      <c r="C174" s="9"/>
      <c r="D174" s="9"/>
      <c r="E174" s="9"/>
      <c r="F174" s="533"/>
      <c r="G174" s="320"/>
      <c r="H174" s="591"/>
      <c r="I174" s="591"/>
      <c r="J174" s="591"/>
      <c r="K174" s="591"/>
      <c r="L174" s="591"/>
      <c r="M174" s="799"/>
      <c r="N174" s="799"/>
      <c r="O174" s="800"/>
    </row>
    <row r="175" spans="1:250" customHeight="1" ht="15.95" s="626" customFormat="1">
      <c r="A175" s="9"/>
      <c r="B175" s="9"/>
      <c r="C175" s="9"/>
      <c r="D175" s="9"/>
      <c r="E175" s="9"/>
      <c r="F175" s="533"/>
      <c r="G175" s="320"/>
      <c r="H175" s="591"/>
      <c r="I175" s="591"/>
      <c r="J175" s="591"/>
      <c r="K175" s="591"/>
      <c r="L175" s="591"/>
      <c r="M175" s="799"/>
      <c r="N175" s="799"/>
      <c r="O175" s="800"/>
    </row>
    <row r="176" spans="1:250" customHeight="1" ht="15.95" s="626" customFormat="1">
      <c r="A176" s="9"/>
      <c r="B176" s="9"/>
      <c r="C176" s="9"/>
      <c r="D176" s="9"/>
      <c r="E176" s="9"/>
      <c r="F176" s="533"/>
      <c r="G176" s="320"/>
      <c r="H176" s="591"/>
      <c r="I176" s="591"/>
      <c r="J176" s="591"/>
      <c r="K176" s="591"/>
      <c r="L176" s="591"/>
      <c r="M176" s="799"/>
      <c r="N176" s="799"/>
      <c r="O176" s="800"/>
    </row>
    <row r="177" spans="1:250" customHeight="1" ht="15.95" s="626" customFormat="1">
      <c r="A177" s="9"/>
      <c r="B177" s="9"/>
      <c r="C177" s="9"/>
      <c r="D177" s="9"/>
      <c r="E177" s="9"/>
      <c r="F177" s="533"/>
      <c r="G177" s="320"/>
      <c r="H177" s="591"/>
      <c r="I177" s="591"/>
      <c r="J177" s="591"/>
      <c r="K177" s="591"/>
      <c r="L177" s="591"/>
      <c r="M177" s="799"/>
      <c r="N177" s="799"/>
      <c r="O177" s="800"/>
    </row>
    <row r="178" spans="1:250" customHeight="1" ht="15.95" s="626" customFormat="1">
      <c r="A178" s="9"/>
      <c r="B178" s="9"/>
      <c r="C178" s="9"/>
      <c r="D178" s="9"/>
      <c r="E178" s="9"/>
      <c r="F178" s="533"/>
      <c r="G178" s="320"/>
      <c r="H178" s="591"/>
      <c r="I178" s="591"/>
      <c r="J178" s="591"/>
      <c r="K178" s="591"/>
      <c r="L178" s="591"/>
      <c r="M178" s="799"/>
      <c r="N178" s="799"/>
      <c r="O178" s="800"/>
    </row>
    <row r="179" spans="1:250" customHeight="1" ht="15.95" s="626" customFormat="1">
      <c r="A179" s="9"/>
      <c r="B179" s="9"/>
      <c r="C179" s="9"/>
      <c r="D179" s="9"/>
      <c r="E179" s="9"/>
      <c r="F179" s="533"/>
      <c r="G179" s="320"/>
      <c r="H179" s="591"/>
      <c r="I179" s="591"/>
      <c r="J179" s="591"/>
      <c r="K179" s="591"/>
      <c r="L179" s="591"/>
      <c r="M179" s="799"/>
      <c r="N179" s="799"/>
      <c r="O179" s="800"/>
    </row>
    <row r="180" spans="1:250" customHeight="1" ht="15.95" s="626" customFormat="1">
      <c r="A180" s="9"/>
      <c r="B180" s="9"/>
      <c r="C180" s="9"/>
      <c r="D180" s="9"/>
      <c r="E180" s="9"/>
      <c r="F180" s="533"/>
      <c r="G180" s="320"/>
      <c r="H180" s="591"/>
      <c r="I180" s="591"/>
      <c r="J180" s="591"/>
      <c r="K180" s="591"/>
      <c r="L180" s="591"/>
      <c r="M180" s="799"/>
      <c r="N180" s="799"/>
      <c r="O180" s="800"/>
    </row>
    <row r="181" spans="1:250" customHeight="1" ht="15.95" s="626" customFormat="1">
      <c r="A181" s="9"/>
      <c r="B181" s="9"/>
      <c r="C181" s="9"/>
      <c r="D181" s="9"/>
      <c r="E181" s="9"/>
      <c r="F181" s="533"/>
      <c r="G181" s="320"/>
      <c r="H181" s="591"/>
      <c r="I181" s="591"/>
      <c r="J181" s="591"/>
      <c r="K181" s="591"/>
      <c r="L181" s="591"/>
      <c r="M181" s="799"/>
      <c r="N181" s="799"/>
      <c r="O181" s="800"/>
    </row>
    <row r="182" spans="1:250" customHeight="1" ht="15.95" s="626" customFormat="1">
      <c r="A182" s="9"/>
      <c r="B182" s="9"/>
      <c r="C182" s="9"/>
      <c r="D182" s="9"/>
      <c r="E182" s="9"/>
      <c r="F182" s="533"/>
      <c r="G182" s="320"/>
      <c r="H182" s="591"/>
      <c r="I182" s="591"/>
      <c r="J182" s="591"/>
      <c r="K182" s="591"/>
      <c r="L182" s="591"/>
      <c r="M182" s="799"/>
      <c r="N182" s="799"/>
      <c r="O182" s="800"/>
    </row>
    <row r="183" spans="1:250" customHeight="1" ht="15.95" s="626" customFormat="1">
      <c r="A183" s="9"/>
      <c r="B183" s="9"/>
      <c r="C183" s="9"/>
      <c r="D183" s="9"/>
      <c r="E183" s="9"/>
      <c r="F183" s="533"/>
      <c r="G183" s="320"/>
      <c r="H183" s="591"/>
      <c r="I183" s="591"/>
      <c r="J183" s="591"/>
      <c r="K183" s="591"/>
      <c r="L183" s="591"/>
      <c r="M183" s="799"/>
      <c r="N183" s="799"/>
      <c r="O183" s="800"/>
    </row>
    <row r="184" spans="1:250" customHeight="1" ht="15.95" s="626" customFormat="1">
      <c r="A184" s="9"/>
      <c r="B184" s="9"/>
      <c r="C184" s="9"/>
      <c r="D184" s="9"/>
      <c r="E184" s="9"/>
      <c r="F184" s="533"/>
      <c r="G184" s="320"/>
      <c r="H184" s="591"/>
      <c r="I184" s="591"/>
      <c r="J184" s="591"/>
      <c r="K184" s="591"/>
      <c r="L184" s="591"/>
      <c r="M184" s="799"/>
      <c r="N184" s="799"/>
      <c r="O184" s="800"/>
    </row>
    <row r="185" spans="1:250" customHeight="1" ht="15.95" s="626" customFormat="1">
      <c r="A185" s="9"/>
      <c r="B185" s="9"/>
      <c r="C185" s="9"/>
      <c r="D185" s="9"/>
      <c r="E185" s="9"/>
      <c r="F185" s="533"/>
      <c r="G185" s="320"/>
      <c r="H185" s="591"/>
      <c r="I185" s="591"/>
      <c r="J185" s="591"/>
      <c r="K185" s="591"/>
      <c r="L185" s="591"/>
      <c r="M185" s="799"/>
      <c r="N185" s="799"/>
      <c r="O185" s="800"/>
    </row>
    <row r="186" spans="1:250" customHeight="1" ht="15.95" s="626" customFormat="1">
      <c r="A186" s="9"/>
      <c r="B186" s="9"/>
      <c r="C186" s="9"/>
      <c r="D186" s="9"/>
      <c r="E186" s="9"/>
      <c r="F186" s="533"/>
      <c r="G186" s="320"/>
      <c r="H186" s="591"/>
      <c r="I186" s="591"/>
      <c r="J186" s="591"/>
      <c r="K186" s="591"/>
      <c r="L186" s="591"/>
      <c r="M186" s="799"/>
      <c r="N186" s="799"/>
      <c r="O186" s="800"/>
    </row>
    <row r="187" spans="1:250" customHeight="1" ht="15.95" s="626" customFormat="1">
      <c r="A187" s="9"/>
      <c r="B187" s="9"/>
      <c r="C187" s="9"/>
      <c r="D187" s="9"/>
      <c r="E187" s="9"/>
      <c r="F187" s="533"/>
      <c r="G187" s="320"/>
      <c r="H187" s="591"/>
      <c r="I187" s="591"/>
      <c r="J187" s="591"/>
      <c r="K187" s="591"/>
      <c r="L187" s="591"/>
      <c r="M187" s="799"/>
      <c r="N187" s="799"/>
      <c r="O187" s="800"/>
    </row>
    <row r="188" spans="1:250" customHeight="1" ht="15.95" s="626" customFormat="1">
      <c r="A188" s="9"/>
      <c r="B188" s="9"/>
      <c r="C188" s="9"/>
      <c r="D188" s="9"/>
      <c r="E188" s="9"/>
      <c r="F188" s="533"/>
      <c r="G188" s="320"/>
      <c r="H188" s="591"/>
      <c r="I188" s="591"/>
      <c r="J188" s="591"/>
      <c r="K188" s="591"/>
      <c r="L188" s="591"/>
      <c r="M188" s="799"/>
      <c r="N188" s="799"/>
      <c r="O188" s="800"/>
    </row>
    <row r="189" spans="1:250" customHeight="1" ht="15.95" s="626" customFormat="1">
      <c r="A189" s="9"/>
      <c r="B189" s="9"/>
      <c r="C189" s="9"/>
      <c r="D189" s="9"/>
      <c r="E189" s="9"/>
      <c r="F189" s="533"/>
      <c r="G189" s="320"/>
      <c r="H189" s="591"/>
      <c r="I189" s="591"/>
      <c r="J189" s="591"/>
      <c r="K189" s="591"/>
      <c r="L189" s="591"/>
      <c r="M189" s="799"/>
      <c r="N189" s="799"/>
      <c r="O189" s="800"/>
    </row>
    <row r="190" spans="1:250" customHeight="1" ht="15.95" s="626" customFormat="1">
      <c r="A190" s="9"/>
      <c r="B190" s="9"/>
      <c r="C190" s="9"/>
      <c r="D190" s="9"/>
      <c r="E190" s="9"/>
      <c r="F190" s="533"/>
      <c r="G190" s="320"/>
      <c r="H190" s="591"/>
      <c r="I190" s="591"/>
      <c r="J190" s="591"/>
      <c r="K190" s="591"/>
      <c r="L190" s="591"/>
      <c r="M190" s="799"/>
      <c r="N190" s="799"/>
      <c r="O190" s="800"/>
    </row>
    <row r="191" spans="1:250" customHeight="1" ht="15.95" s="626" customFormat="1">
      <c r="A191" s="9"/>
      <c r="B191" s="9"/>
      <c r="C191" s="9"/>
      <c r="D191" s="9"/>
      <c r="E191" s="9"/>
      <c r="F191" s="533"/>
      <c r="G191" s="320"/>
      <c r="H191" s="591"/>
      <c r="I191" s="591"/>
      <c r="J191" s="591"/>
      <c r="K191" s="591"/>
      <c r="L191" s="591"/>
      <c r="M191" s="799"/>
      <c r="N191" s="799"/>
      <c r="O191" s="800"/>
    </row>
    <row r="192" spans="1:250" customHeight="1" ht="15.95" s="626" customFormat="1">
      <c r="A192" s="9"/>
      <c r="B192" s="9"/>
      <c r="C192" s="9"/>
      <c r="D192" s="9"/>
      <c r="E192" s="9"/>
      <c r="F192" s="533"/>
      <c r="G192" s="320"/>
      <c r="H192" s="591"/>
      <c r="I192" s="591"/>
      <c r="J192" s="591"/>
      <c r="K192" s="591"/>
      <c r="L192" s="591"/>
      <c r="M192" s="799"/>
      <c r="N192" s="799"/>
      <c r="O192" s="800"/>
    </row>
    <row r="193" spans="1:250" customHeight="1" ht="15.95" s="626" customFormat="1">
      <c r="A193" s="9"/>
      <c r="B193" s="9"/>
      <c r="C193" s="9"/>
      <c r="D193" s="9"/>
      <c r="E193" s="9"/>
      <c r="F193" s="533"/>
      <c r="G193" s="320"/>
      <c r="H193" s="591"/>
      <c r="I193" s="591"/>
      <c r="J193" s="591"/>
      <c r="K193" s="591"/>
      <c r="L193" s="591"/>
      <c r="M193" s="799"/>
      <c r="N193" s="799"/>
      <c r="O193" s="800"/>
    </row>
    <row r="194" spans="1:250" customHeight="1" ht="15.95" s="626" customFormat="1">
      <c r="A194" s="9"/>
      <c r="B194" s="9"/>
      <c r="C194" s="9"/>
      <c r="D194" s="9"/>
      <c r="E194" s="9"/>
      <c r="F194" s="533"/>
      <c r="G194" s="320"/>
      <c r="H194" s="591"/>
      <c r="I194" s="591"/>
      <c r="J194" s="591"/>
      <c r="K194" s="591"/>
      <c r="L194" s="591"/>
      <c r="M194" s="799"/>
      <c r="N194" s="799"/>
      <c r="O194" s="800"/>
    </row>
    <row r="195" spans="1:250" customHeight="1" ht="15.95" s="626" customFormat="1">
      <c r="A195" s="9"/>
      <c r="B195" s="9"/>
      <c r="C195" s="9"/>
      <c r="D195" s="9"/>
      <c r="E195" s="9"/>
      <c r="F195" s="533"/>
      <c r="G195" s="320"/>
      <c r="H195" s="591"/>
      <c r="I195" s="591"/>
      <c r="J195" s="591"/>
      <c r="K195" s="591"/>
      <c r="L195" s="591"/>
      <c r="M195" s="799"/>
      <c r="N195" s="799"/>
      <c r="O195" s="800"/>
    </row>
    <row r="196" spans="1:250" customHeight="1" ht="15.95" s="626" customFormat="1">
      <c r="A196" s="9"/>
      <c r="B196" s="9"/>
      <c r="C196" s="9"/>
      <c r="D196" s="9"/>
      <c r="E196" s="9"/>
      <c r="F196" s="533"/>
      <c r="G196" s="320"/>
      <c r="H196" s="591"/>
      <c r="I196" s="591"/>
      <c r="J196" s="591"/>
      <c r="K196" s="591"/>
      <c r="L196" s="591"/>
      <c r="M196" s="799"/>
      <c r="N196" s="799"/>
      <c r="O196" s="800"/>
    </row>
    <row r="197" spans="1:250" customHeight="1" ht="15.95" s="626" customFormat="1">
      <c r="A197" s="9"/>
      <c r="B197" s="9"/>
      <c r="C197" s="9"/>
      <c r="D197" s="9"/>
      <c r="E197" s="9"/>
      <c r="F197" s="533"/>
      <c r="G197" s="320"/>
      <c r="H197" s="591"/>
      <c r="I197" s="591"/>
      <c r="J197" s="591"/>
      <c r="K197" s="591"/>
      <c r="L197" s="591"/>
      <c r="M197" s="799"/>
      <c r="N197" s="799"/>
      <c r="O197" s="800"/>
    </row>
    <row r="198" spans="1:250" customHeight="1" ht="15.95" s="626" customFormat="1">
      <c r="A198" s="9"/>
      <c r="B198" s="9"/>
      <c r="C198" s="9"/>
      <c r="D198" s="9"/>
      <c r="E198" s="9"/>
      <c r="F198" s="533"/>
      <c r="G198" s="320"/>
      <c r="H198" s="591"/>
      <c r="I198" s="591"/>
      <c r="J198" s="591"/>
      <c r="K198" s="591"/>
      <c r="L198" s="591"/>
      <c r="M198" s="799"/>
      <c r="N198" s="799"/>
      <c r="O198" s="800"/>
    </row>
    <row r="199" spans="1:250" customHeight="1" ht="15.95" s="626" customFormat="1">
      <c r="A199" s="9"/>
      <c r="B199" s="9"/>
      <c r="C199" s="9"/>
      <c r="D199" s="9"/>
      <c r="E199" s="9"/>
      <c r="F199" s="533"/>
      <c r="G199" s="320"/>
      <c r="H199" s="591"/>
      <c r="I199" s="591"/>
      <c r="J199" s="591"/>
      <c r="K199" s="591"/>
      <c r="L199" s="591"/>
      <c r="M199" s="799"/>
      <c r="N199" s="799"/>
      <c r="O199" s="800"/>
    </row>
    <row r="200" spans="1:250" customHeight="1" ht="15.95" s="626" customFormat="1">
      <c r="A200" s="9"/>
      <c r="B200" s="9"/>
      <c r="C200" s="9"/>
      <c r="D200" s="9"/>
      <c r="E200" s="9"/>
      <c r="F200" s="533"/>
      <c r="G200" s="320"/>
      <c r="H200" s="591"/>
      <c r="I200" s="591"/>
      <c r="J200" s="591"/>
      <c r="K200" s="591"/>
      <c r="L200" s="591"/>
      <c r="M200" s="799"/>
      <c r="N200" s="799"/>
      <c r="O200" s="800"/>
    </row>
    <row r="201" spans="1:250" customHeight="1" ht="15.95" s="626" customFormat="1">
      <c r="A201" s="9"/>
      <c r="B201" s="9"/>
      <c r="C201" s="9"/>
      <c r="D201" s="9"/>
      <c r="E201" s="9"/>
      <c r="F201" s="533"/>
      <c r="G201" s="320"/>
      <c r="H201" s="591"/>
      <c r="I201" s="591"/>
      <c r="J201" s="591"/>
      <c r="K201" s="591"/>
      <c r="L201" s="591"/>
      <c r="M201" s="799"/>
      <c r="N201" s="799"/>
      <c r="O201" s="800"/>
    </row>
    <row r="202" spans="1:250" customHeight="1" ht="15.95" s="626" customFormat="1">
      <c r="A202" s="9"/>
      <c r="B202" s="9"/>
      <c r="C202" s="9"/>
      <c r="D202" s="9"/>
      <c r="E202" s="9"/>
      <c r="F202" s="533"/>
      <c r="G202" s="320"/>
      <c r="H202" s="591"/>
      <c r="I202" s="591"/>
      <c r="J202" s="591"/>
      <c r="K202" s="591"/>
      <c r="L202" s="591"/>
      <c r="M202" s="799"/>
      <c r="N202" s="799"/>
      <c r="O202" s="800"/>
    </row>
    <row r="203" spans="1:250" customHeight="1" ht="15.95" s="626" customFormat="1">
      <c r="A203" s="9"/>
      <c r="B203" s="9"/>
      <c r="C203" s="9"/>
      <c r="D203" s="9"/>
      <c r="E203" s="9"/>
      <c r="F203" s="533"/>
      <c r="G203" s="320"/>
      <c r="H203" s="591"/>
      <c r="I203" s="591"/>
      <c r="J203" s="591"/>
      <c r="K203" s="591"/>
      <c r="L203" s="591"/>
      <c r="M203" s="799"/>
      <c r="N203" s="799"/>
      <c r="O203" s="800"/>
    </row>
    <row r="204" spans="1:250" customHeight="1" ht="15.95" s="626" customFormat="1">
      <c r="A204" s="9"/>
      <c r="B204" s="9"/>
      <c r="C204" s="9"/>
      <c r="D204" s="9"/>
      <c r="E204" s="9"/>
      <c r="F204" s="533"/>
      <c r="G204" s="320"/>
      <c r="H204" s="591"/>
      <c r="I204" s="591"/>
      <c r="J204" s="591"/>
      <c r="K204" s="591"/>
      <c r="L204" s="591"/>
      <c r="M204" s="799"/>
      <c r="N204" s="799"/>
      <c r="O204" s="800"/>
    </row>
    <row r="205" spans="1:250" customHeight="1" ht="15.95" s="626" customFormat="1">
      <c r="A205" s="9"/>
      <c r="B205" s="9"/>
      <c r="C205" s="9"/>
      <c r="D205" s="9"/>
      <c r="E205" s="9"/>
      <c r="F205" s="533"/>
      <c r="G205" s="320"/>
      <c r="H205" s="591"/>
      <c r="I205" s="591"/>
      <c r="J205" s="591"/>
      <c r="K205" s="591"/>
      <c r="L205" s="591"/>
      <c r="M205" s="799"/>
      <c r="N205" s="799"/>
      <c r="O205" s="800"/>
    </row>
    <row r="206" spans="1:250" customHeight="1" ht="15.95" s="626" customFormat="1">
      <c r="A206" s="9"/>
      <c r="B206" s="9"/>
      <c r="C206" s="9"/>
      <c r="D206" s="9"/>
      <c r="E206" s="9"/>
      <c r="F206" s="533"/>
      <c r="G206" s="320"/>
      <c r="H206" s="591"/>
      <c r="I206" s="591"/>
      <c r="J206" s="591"/>
      <c r="K206" s="591"/>
      <c r="L206" s="591"/>
      <c r="M206" s="799"/>
      <c r="N206" s="799"/>
      <c r="O206" s="800"/>
    </row>
    <row r="207" spans="1:250" customHeight="1" ht="15.95" s="626" customFormat="1">
      <c r="A207" s="9"/>
      <c r="B207" s="9"/>
      <c r="C207" s="9"/>
      <c r="D207" s="9"/>
      <c r="E207" s="9"/>
      <c r="F207" s="533"/>
      <c r="G207" s="320"/>
      <c r="H207" s="591"/>
      <c r="I207" s="591"/>
      <c r="J207" s="591"/>
      <c r="K207" s="591"/>
      <c r="L207" s="591"/>
      <c r="M207" s="799"/>
      <c r="N207" s="799"/>
      <c r="O207" s="800"/>
    </row>
    <row r="208" spans="1:250" customHeight="1" ht="15.95" s="626" customFormat="1">
      <c r="A208" s="9"/>
      <c r="B208" s="9"/>
      <c r="C208" s="9"/>
      <c r="D208" s="9"/>
      <c r="E208" s="9"/>
      <c r="F208" s="533"/>
      <c r="G208" s="320"/>
      <c r="H208" s="591"/>
      <c r="I208" s="591"/>
      <c r="J208" s="591"/>
      <c r="K208" s="591"/>
      <c r="L208" s="591"/>
      <c r="M208" s="799"/>
      <c r="N208" s="799"/>
      <c r="O208" s="800"/>
    </row>
    <row r="209" spans="1:250" customHeight="1" ht="15.95" s="626" customFormat="1">
      <c r="A209" s="9"/>
      <c r="B209" s="9"/>
      <c r="C209" s="9"/>
      <c r="D209" s="9"/>
      <c r="E209" s="9"/>
      <c r="F209" s="533"/>
      <c r="G209" s="320"/>
      <c r="H209" s="591"/>
      <c r="I209" s="591"/>
      <c r="J209" s="591"/>
      <c r="K209" s="591"/>
      <c r="L209" s="591"/>
      <c r="M209" s="799"/>
      <c r="N209" s="799"/>
      <c r="O209" s="800"/>
    </row>
    <row r="210" spans="1:250" customHeight="1" ht="15.95" s="626" customFormat="1">
      <c r="A210" s="9"/>
      <c r="B210" s="9"/>
      <c r="C210" s="9"/>
      <c r="D210" s="9"/>
      <c r="E210" s="9"/>
      <c r="F210" s="533"/>
      <c r="G210" s="320"/>
      <c r="H210" s="591"/>
      <c r="I210" s="591"/>
      <c r="J210" s="591"/>
      <c r="K210" s="591"/>
      <c r="L210" s="591"/>
      <c r="M210" s="799"/>
      <c r="N210" s="799"/>
      <c r="O210" s="800"/>
    </row>
    <row r="211" spans="1:250" customHeight="1" ht="15.95" s="626" customFormat="1">
      <c r="A211" s="9"/>
      <c r="B211" s="9"/>
      <c r="C211" s="9"/>
      <c r="D211" s="9"/>
      <c r="E211" s="9"/>
      <c r="F211" s="533"/>
      <c r="G211" s="320"/>
      <c r="H211" s="591"/>
      <c r="I211" s="591"/>
      <c r="J211" s="591"/>
      <c r="K211" s="591"/>
      <c r="L211" s="591"/>
      <c r="M211" s="799"/>
      <c r="N211" s="799"/>
      <c r="O211" s="800"/>
    </row>
    <row r="212" spans="1:250" customHeight="1" ht="15.95" s="626" customFormat="1">
      <c r="A212" s="9"/>
      <c r="B212" s="9"/>
      <c r="C212" s="9"/>
      <c r="D212" s="9"/>
      <c r="E212" s="9"/>
      <c r="F212" s="533"/>
      <c r="G212" s="320"/>
      <c r="H212" s="591"/>
      <c r="I212" s="591"/>
      <c r="J212" s="591"/>
      <c r="K212" s="591"/>
      <c r="L212" s="591"/>
      <c r="M212" s="799"/>
      <c r="N212" s="799"/>
      <c r="O212" s="800"/>
    </row>
    <row r="213" spans="1:250" customHeight="1" ht="15.95" s="626" customFormat="1">
      <c r="A213" s="9"/>
      <c r="B213" s="9"/>
      <c r="C213" s="9"/>
      <c r="D213" s="9"/>
      <c r="E213" s="9"/>
      <c r="F213" s="533"/>
      <c r="G213" s="320"/>
      <c r="H213" s="591"/>
      <c r="I213" s="591"/>
      <c r="J213" s="591"/>
      <c r="K213" s="591"/>
      <c r="L213" s="591"/>
      <c r="M213" s="799"/>
      <c r="N213" s="799"/>
      <c r="O213" s="800"/>
    </row>
    <row r="214" spans="1:250" customHeight="1" ht="15.95" s="626" customFormat="1">
      <c r="A214" s="9"/>
      <c r="B214" s="9"/>
      <c r="C214" s="9"/>
      <c r="D214" s="9"/>
      <c r="E214" s="9"/>
      <c r="F214" s="533"/>
      <c r="G214" s="320"/>
      <c r="H214" s="591"/>
      <c r="I214" s="591"/>
      <c r="J214" s="591"/>
      <c r="K214" s="591"/>
      <c r="L214" s="591"/>
      <c r="M214" s="799"/>
      <c r="N214" s="799"/>
      <c r="O214" s="800"/>
    </row>
    <row r="215" spans="1:250" customHeight="1" ht="15.95" s="626" customFormat="1">
      <c r="A215" s="9"/>
      <c r="B215" s="9"/>
      <c r="C215" s="9"/>
      <c r="D215" s="9"/>
      <c r="E215" s="9"/>
      <c r="F215" s="533"/>
      <c r="G215" s="320"/>
      <c r="H215" s="591"/>
      <c r="I215" s="591"/>
      <c r="J215" s="591"/>
      <c r="K215" s="591"/>
      <c r="L215" s="591"/>
      <c r="M215" s="799"/>
      <c r="N215" s="799"/>
      <c r="O215" s="800"/>
    </row>
    <row r="216" spans="1:250" customHeight="1" ht="15.95" s="626" customFormat="1">
      <c r="A216" s="9"/>
      <c r="B216" s="9"/>
      <c r="C216" s="9"/>
      <c r="D216" s="9"/>
      <c r="E216" s="9"/>
      <c r="F216" s="533"/>
      <c r="G216" s="320"/>
      <c r="H216" s="591"/>
      <c r="I216" s="591"/>
      <c r="J216" s="591"/>
      <c r="K216" s="591"/>
      <c r="L216" s="591"/>
      <c r="M216" s="799"/>
      <c r="N216" s="799"/>
      <c r="O216" s="800"/>
    </row>
    <row r="217" spans="1:250" customHeight="1" ht="15.95" s="626" customFormat="1">
      <c r="A217" s="9"/>
      <c r="B217" s="9"/>
      <c r="C217" s="9"/>
      <c r="D217" s="9"/>
      <c r="E217" s="9"/>
      <c r="F217" s="533"/>
      <c r="G217" s="320"/>
      <c r="H217" s="591"/>
      <c r="I217" s="591"/>
      <c r="J217" s="591"/>
      <c r="K217" s="591"/>
      <c r="L217" s="591"/>
      <c r="M217" s="799"/>
      <c r="N217" s="799"/>
      <c r="O217" s="800"/>
    </row>
    <row r="218" spans="1:250" customHeight="1" ht="15.95" s="626" customFormat="1">
      <c r="A218" s="9"/>
      <c r="B218" s="9"/>
      <c r="C218" s="9"/>
      <c r="D218" s="9"/>
      <c r="E218" s="9"/>
      <c r="F218" s="533"/>
      <c r="G218" s="320"/>
      <c r="H218" s="591"/>
      <c r="I218" s="591"/>
      <c r="J218" s="591"/>
      <c r="K218" s="591"/>
      <c r="L218" s="591"/>
      <c r="M218" s="799"/>
      <c r="N218" s="799"/>
      <c r="O218" s="800"/>
    </row>
    <row r="219" spans="1:250" customHeight="1" ht="15.95" s="626" customFormat="1">
      <c r="A219" s="9"/>
      <c r="B219" s="9"/>
      <c r="C219" s="9"/>
      <c r="D219" s="9"/>
      <c r="E219" s="9"/>
      <c r="F219" s="533"/>
      <c r="G219" s="320"/>
      <c r="H219" s="591"/>
      <c r="I219" s="591"/>
      <c r="J219" s="591"/>
      <c r="K219" s="591"/>
      <c r="L219" s="591"/>
      <c r="M219" s="799"/>
      <c r="N219" s="799"/>
      <c r="O219" s="800"/>
    </row>
    <row r="220" spans="1:250" customHeight="1" ht="15.95" s="626" customFormat="1">
      <c r="A220" s="9"/>
      <c r="B220" s="9"/>
      <c r="C220" s="9"/>
      <c r="D220" s="9"/>
      <c r="E220" s="9"/>
      <c r="F220" s="533"/>
      <c r="G220" s="320"/>
      <c r="H220" s="591"/>
      <c r="I220" s="591"/>
      <c r="J220" s="591"/>
      <c r="K220" s="591"/>
      <c r="L220" s="591"/>
      <c r="M220" s="799"/>
      <c r="N220" s="799"/>
      <c r="O220" s="800"/>
    </row>
    <row r="221" spans="1:250" customHeight="1" ht="15.95" s="626" customFormat="1">
      <c r="A221" s="9"/>
      <c r="B221" s="9"/>
      <c r="C221" s="9"/>
      <c r="D221" s="9"/>
      <c r="E221" s="9"/>
      <c r="F221" s="533"/>
      <c r="G221" s="320"/>
      <c r="H221" s="591"/>
      <c r="I221" s="591"/>
      <c r="J221" s="591"/>
      <c r="K221" s="591"/>
      <c r="L221" s="591"/>
      <c r="M221" s="799"/>
      <c r="N221" s="799"/>
      <c r="O221" s="800"/>
    </row>
    <row r="222" spans="1:250" customHeight="1" ht="15.95" s="626" customFormat="1">
      <c r="A222" s="9"/>
      <c r="B222" s="9"/>
      <c r="C222" s="9"/>
      <c r="D222" s="9"/>
      <c r="E222" s="9"/>
      <c r="F222" s="533"/>
      <c r="G222" s="320"/>
      <c r="H222" s="591"/>
      <c r="I222" s="591"/>
      <c r="J222" s="591"/>
      <c r="K222" s="591"/>
      <c r="L222" s="591"/>
      <c r="M222" s="799"/>
      <c r="N222" s="799"/>
      <c r="O222" s="800"/>
    </row>
    <row r="223" spans="1:250" customHeight="1" ht="15.95" s="626" customFormat="1">
      <c r="A223" s="9"/>
      <c r="B223" s="9"/>
      <c r="C223" s="9"/>
      <c r="D223" s="9"/>
      <c r="E223" s="9"/>
      <c r="F223" s="533"/>
      <c r="G223" s="320"/>
      <c r="H223" s="591"/>
      <c r="I223" s="591"/>
      <c r="J223" s="591"/>
      <c r="K223" s="591"/>
      <c r="L223" s="591"/>
      <c r="M223" s="799"/>
      <c r="N223" s="799"/>
      <c r="O223" s="800"/>
    </row>
    <row r="224" spans="1:250" customHeight="1" ht="15.95" s="626" customFormat="1">
      <c r="A224" s="9"/>
      <c r="B224" s="9"/>
      <c r="C224" s="9"/>
      <c r="D224" s="9"/>
      <c r="E224" s="9"/>
      <c r="F224" s="533"/>
      <c r="G224" s="320"/>
      <c r="H224" s="591"/>
      <c r="I224" s="591"/>
      <c r="J224" s="591"/>
      <c r="K224" s="591"/>
      <c r="L224" s="591"/>
      <c r="M224" s="799"/>
      <c r="N224" s="799"/>
      <c r="O224" s="800"/>
    </row>
    <row r="225" spans="1:250" customHeight="1" ht="15.95" s="626" customFormat="1">
      <c r="A225" s="9"/>
      <c r="B225" s="9"/>
      <c r="C225" s="9"/>
      <c r="D225" s="9"/>
      <c r="E225" s="9"/>
      <c r="F225" s="533"/>
      <c r="G225" s="320"/>
      <c r="H225" s="591"/>
      <c r="I225" s="591"/>
      <c r="J225" s="591"/>
      <c r="K225" s="591"/>
      <c r="L225" s="591"/>
      <c r="M225" s="799"/>
      <c r="N225" s="799"/>
      <c r="O225" s="800"/>
    </row>
    <row r="226" spans="1:250" customHeight="1" ht="15.95" s="626" customFormat="1">
      <c r="A226" s="9"/>
      <c r="B226" s="9"/>
      <c r="C226" s="9"/>
      <c r="D226" s="9"/>
      <c r="E226" s="9"/>
      <c r="F226" s="533"/>
      <c r="G226" s="320"/>
      <c r="H226" s="591"/>
      <c r="I226" s="591"/>
      <c r="J226" s="591"/>
      <c r="K226" s="591"/>
      <c r="L226" s="591"/>
      <c r="M226" s="799"/>
      <c r="N226" s="799"/>
      <c r="O226" s="800"/>
    </row>
    <row r="227" spans="1:250" customHeight="1" ht="15.95" s="626" customFormat="1">
      <c r="A227" s="9"/>
      <c r="B227" s="9"/>
      <c r="C227" s="9"/>
      <c r="D227" s="9"/>
      <c r="E227" s="9"/>
      <c r="F227" s="533"/>
      <c r="G227" s="320"/>
      <c r="H227" s="591"/>
      <c r="I227" s="591"/>
      <c r="J227" s="591"/>
      <c r="K227" s="591"/>
      <c r="L227" s="591"/>
      <c r="M227" s="799"/>
      <c r="N227" s="799"/>
      <c r="O227" s="800"/>
    </row>
    <row r="228" spans="1:250" customHeight="1" ht="15.95" s="626" customFormat="1">
      <c r="A228" s="9"/>
      <c r="B228" s="9"/>
      <c r="C228" s="9"/>
      <c r="D228" s="9"/>
      <c r="E228" s="9"/>
      <c r="F228" s="533"/>
      <c r="G228" s="320"/>
      <c r="H228" s="591"/>
      <c r="I228" s="591"/>
      <c r="J228" s="591"/>
      <c r="K228" s="591"/>
      <c r="L228" s="591"/>
      <c r="M228" s="799"/>
      <c r="N228" s="799"/>
      <c r="O228" s="800"/>
    </row>
    <row r="229" spans="1:250" customHeight="1" ht="15.95" s="626" customFormat="1">
      <c r="A229" s="9"/>
      <c r="B229" s="9"/>
      <c r="C229" s="9"/>
      <c r="D229" s="9"/>
      <c r="E229" s="9"/>
      <c r="F229" s="533"/>
      <c r="G229" s="320"/>
      <c r="H229" s="591"/>
      <c r="I229" s="591"/>
      <c r="J229" s="591"/>
      <c r="K229" s="591"/>
      <c r="L229" s="591"/>
      <c r="M229" s="799"/>
      <c r="N229" s="799"/>
      <c r="O229" s="800"/>
    </row>
    <row r="230" spans="1:250" customHeight="1" ht="15.95" s="626" customFormat="1">
      <c r="A230" s="9"/>
      <c r="B230" s="9"/>
      <c r="C230" s="9"/>
      <c r="D230" s="9"/>
      <c r="E230" s="9"/>
      <c r="F230" s="533"/>
      <c r="G230" s="320"/>
      <c r="H230" s="591"/>
      <c r="I230" s="591"/>
      <c r="J230" s="591"/>
      <c r="K230" s="591"/>
      <c r="L230" s="591"/>
      <c r="M230" s="799"/>
      <c r="N230" s="799"/>
      <c r="O230" s="800"/>
    </row>
    <row r="231" spans="1:250" customHeight="1" ht="15.95" s="626" customFormat="1">
      <c r="A231" s="9"/>
      <c r="B231" s="9"/>
      <c r="C231" s="9"/>
      <c r="D231" s="9"/>
      <c r="E231" s="9"/>
      <c r="F231" s="533"/>
      <c r="G231" s="320"/>
      <c r="H231" s="591"/>
      <c r="I231" s="591"/>
      <c r="J231" s="591"/>
      <c r="K231" s="591"/>
      <c r="L231" s="591"/>
      <c r="M231" s="799"/>
      <c r="N231" s="799"/>
      <c r="O231" s="800"/>
    </row>
    <row r="232" spans="1:250" customHeight="1" ht="15.95" s="626" customFormat="1">
      <c r="A232" s="9"/>
      <c r="B232" s="9"/>
      <c r="C232" s="9"/>
      <c r="D232" s="9"/>
      <c r="E232" s="9"/>
      <c r="F232" s="533"/>
      <c r="G232" s="320"/>
      <c r="H232" s="591"/>
      <c r="I232" s="591"/>
      <c r="J232" s="591"/>
      <c r="K232" s="591"/>
      <c r="L232" s="591"/>
      <c r="M232" s="799"/>
      <c r="N232" s="799"/>
      <c r="O232" s="800"/>
    </row>
    <row r="233" spans="1:250" customHeight="1" ht="15.95" s="626" customFormat="1">
      <c r="A233" s="9"/>
      <c r="B233" s="9"/>
      <c r="C233" s="9"/>
      <c r="D233" s="9"/>
      <c r="E233" s="9"/>
      <c r="F233" s="533"/>
      <c r="G233" s="320"/>
      <c r="H233" s="591"/>
      <c r="I233" s="591"/>
      <c r="J233" s="591"/>
      <c r="K233" s="591"/>
      <c r="L233" s="591"/>
      <c r="M233" s="799"/>
      <c r="N233" s="799"/>
      <c r="O233" s="800"/>
    </row>
    <row r="234" spans="1:250" customHeight="1" ht="15.95" s="4" customFormat="1">
      <c r="A234" s="11"/>
      <c r="B234" s="11"/>
      <c r="C234" s="11"/>
      <c r="F234" s="592"/>
      <c r="G234" s="593"/>
      <c r="H234" s="594"/>
      <c r="I234" s="594"/>
      <c r="J234" s="594"/>
      <c r="K234" s="765"/>
      <c r="L234" s="593"/>
      <c r="M234" s="529"/>
      <c r="N234" s="529"/>
      <c r="O234" s="819"/>
    </row>
    <row r="235" spans="1:250" customHeight="1" ht="15.95" s="11" customFormat="1">
      <c r="A235" s="9"/>
      <c r="B235" s="9"/>
      <c r="C235" s="9"/>
      <c r="D235" s="9"/>
      <c r="E235" s="9"/>
      <c r="F235" s="533"/>
      <c r="G235" s="9"/>
      <c r="H235" s="510"/>
      <c r="I235" s="510"/>
      <c r="J235" s="510"/>
      <c r="K235" s="820"/>
      <c r="L235" s="533"/>
      <c r="M235" s="529"/>
      <c r="N235" s="529"/>
      <c r="O235" s="8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8:E148"/>
    <mergeCell ref="F148:I148"/>
    <mergeCell ref="J148:L148"/>
    <mergeCell ref="A149:E149"/>
    <mergeCell ref="F149:I149"/>
    <mergeCell ref="J149:L149"/>
    <mergeCell ref="A15:F15"/>
    <mergeCell ref="A132:F132"/>
    <mergeCell ref="A144:C144"/>
    <mergeCell ref="K144:L144"/>
    <mergeCell ref="A147:E147"/>
    <mergeCell ref="F147:I147"/>
    <mergeCell ref="J147:L147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3" footer="0.3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6"/>
  <sheetViews>
    <sheetView tabSelected="0" workbookViewId="0" view="pageBreakPreview" showGridLines="false" showRowColHeaders="1">
      <selection activeCell="A5" sqref="A5:L5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2" customWidth="true" style="9"/>
    <col min="6" max="6" width="12.7109375" customWidth="true" style="7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9"/>
    <col min="12" max="12" width="16.7109375" customWidth="true" style="11"/>
    <col min="13" max="13" width="22.28515625" customWidth="true" style="93"/>
    <col min="14" max="14" width="15" customWidth="true" style="9"/>
    <col min="15" max="15" width="13.85546875" customWidth="true" style="9"/>
    <col min="16" max="16" width="14.5703125" customWidth="true" style="93"/>
    <col min="17" max="17" width="15.7109375" customWidth="true" style="126"/>
    <col min="18" max="18" width="16.140625" customWidth="true" style="0"/>
    <col min="19" max="19" width="12.7109375" customWidth="true" style="86"/>
  </cols>
  <sheetData>
    <row r="1" spans="1:19" customHeight="1" ht="9.95" s="173" customFormat="1">
      <c r="A1" s="173" t="s">
        <v>0</v>
      </c>
      <c r="J1" s="174"/>
      <c r="L1" s="175"/>
    </row>
    <row r="2" spans="1:19" customHeight="1" ht="9.95" s="173" customFormat="1">
      <c r="A2" s="173" t="s">
        <v>1</v>
      </c>
      <c r="J2" s="174"/>
      <c r="L2" s="175"/>
    </row>
    <row r="3" spans="1:19" customHeight="1" ht="9.95" s="173" customFormat="1">
      <c r="A3" s="173" t="s">
        <v>2</v>
      </c>
      <c r="J3" s="174"/>
      <c r="L3" s="175"/>
    </row>
    <row r="4" spans="1:19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9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9" customHeight="1" ht="15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9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9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365</v>
      </c>
    </row>
    <row r="9" spans="1:19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19" customHeight="1" ht="7.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9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9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9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9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9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9" customHeight="1" ht="18.95" s="273" customFormat="1">
      <c r="A16" s="821" t="s">
        <v>366</v>
      </c>
      <c r="B16" s="822"/>
      <c r="C16" s="822"/>
      <c r="D16" s="822"/>
      <c r="E16" s="822"/>
      <c r="F16" s="283"/>
      <c r="G16" s="823"/>
      <c r="H16" s="824"/>
      <c r="I16" s="823"/>
      <c r="J16" s="823"/>
      <c r="K16" s="824"/>
      <c r="L16" s="825"/>
      <c r="M16" s="826"/>
      <c r="P16" s="826"/>
      <c r="Q16" s="827"/>
      <c r="S16" s="828"/>
    </row>
    <row r="17" spans="1:19" customHeight="1" ht="18.95" s="273" customFormat="1">
      <c r="A17" s="21" t="s">
        <v>367</v>
      </c>
      <c r="B17" s="565"/>
      <c r="C17" s="565"/>
      <c r="D17" s="565"/>
      <c r="E17" s="565"/>
      <c r="F17" s="705"/>
      <c r="G17" s="829"/>
      <c r="H17" s="830"/>
      <c r="I17" s="829"/>
      <c r="J17" s="829"/>
      <c r="K17" s="830"/>
      <c r="L17" s="831"/>
      <c r="M17" s="826"/>
      <c r="P17" s="826"/>
      <c r="Q17" s="827"/>
      <c r="S17" s="828"/>
    </row>
    <row r="18" spans="1:19" customHeight="1" ht="18.95" s="33" customFormat="1">
      <c r="A18" s="832" t="s">
        <v>204</v>
      </c>
      <c r="B18" s="833"/>
      <c r="C18" s="833"/>
      <c r="D18" s="833"/>
      <c r="E18" s="833"/>
      <c r="G18" s="834"/>
      <c r="H18" s="835"/>
      <c r="I18" s="834"/>
      <c r="J18" s="834"/>
      <c r="K18" s="835"/>
      <c r="L18" s="836"/>
      <c r="M18" s="93"/>
      <c r="P18" s="93"/>
      <c r="Q18" s="837"/>
      <c r="S18" s="88"/>
    </row>
    <row r="19" spans="1:19" customHeight="1" ht="18.95" s="33" customFormat="1">
      <c r="A19" s="832"/>
      <c r="B19" s="42" t="s">
        <v>368</v>
      </c>
      <c r="C19" s="833"/>
      <c r="D19" s="833"/>
      <c r="E19" s="833"/>
      <c r="G19" s="838" t="s">
        <v>369</v>
      </c>
      <c r="H19" s="839"/>
      <c r="I19" s="838"/>
      <c r="J19" s="838"/>
      <c r="K19" s="840"/>
      <c r="L19" s="841">
        <v>1223535.38</v>
      </c>
      <c r="M19" s="93"/>
      <c r="P19" s="93"/>
      <c r="Q19" s="837"/>
      <c r="S19" s="88"/>
    </row>
    <row r="20" spans="1:19" customHeight="1" ht="18.95" s="33" customFormat="1">
      <c r="B20" s="42" t="s">
        <v>370</v>
      </c>
      <c r="C20" s="52"/>
      <c r="D20" s="52"/>
      <c r="E20" s="52"/>
      <c r="G20" s="842" t="s">
        <v>371</v>
      </c>
      <c r="H20" s="843"/>
      <c r="I20" s="256"/>
      <c r="J20" s="256"/>
      <c r="K20" s="844"/>
      <c r="L20" s="845">
        <v>15229000</v>
      </c>
      <c r="M20" s="93"/>
      <c r="P20" s="93"/>
      <c r="Q20" s="837"/>
      <c r="S20" s="88"/>
    </row>
    <row r="21" spans="1:19" customHeight="1" ht="18.95" s="33" customFormat="1">
      <c r="B21" s="42" t="s">
        <v>205</v>
      </c>
      <c r="C21" s="52"/>
      <c r="D21" s="52"/>
      <c r="E21" s="52"/>
      <c r="G21" s="842" t="s">
        <v>206</v>
      </c>
      <c r="H21" s="843"/>
      <c r="I21" s="256"/>
      <c r="J21" s="256"/>
      <c r="K21" s="844"/>
      <c r="L21" s="845">
        <v>6210000</v>
      </c>
      <c r="M21" s="93"/>
      <c r="P21" s="93"/>
      <c r="Q21" s="837"/>
      <c r="S21" s="88"/>
    </row>
    <row r="22" spans="1:19" customHeight="1" ht="18.95" s="33" customFormat="1">
      <c r="B22" s="42" t="s">
        <v>372</v>
      </c>
      <c r="C22" s="52"/>
      <c r="D22" s="52"/>
      <c r="E22" s="52"/>
      <c r="G22" s="842" t="s">
        <v>373</v>
      </c>
      <c r="H22" s="843"/>
      <c r="I22" s="256"/>
      <c r="J22" s="256"/>
      <c r="K22" s="844"/>
      <c r="L22" s="845">
        <v>1380000</v>
      </c>
      <c r="M22" s="93"/>
      <c r="P22" s="93"/>
      <c r="Q22" s="837"/>
      <c r="S22" s="88"/>
    </row>
    <row r="23" spans="1:19" customHeight="1" ht="18.95" s="33" customFormat="1">
      <c r="B23" s="42" t="s">
        <v>374</v>
      </c>
      <c r="C23" s="52"/>
      <c r="D23" s="52"/>
      <c r="E23" s="52"/>
      <c r="G23" s="842" t="s">
        <v>375</v>
      </c>
      <c r="H23" s="843"/>
      <c r="I23" s="256"/>
      <c r="J23" s="256"/>
      <c r="K23" s="844"/>
      <c r="L23" s="845">
        <v>7590000</v>
      </c>
      <c r="M23" s="93"/>
      <c r="P23" s="93"/>
      <c r="Q23" s="837"/>
      <c r="S23" s="88"/>
    </row>
    <row r="24" spans="1:19" customHeight="1" ht="18.95" s="33" customFormat="1">
      <c r="B24" s="42" t="s">
        <v>376</v>
      </c>
      <c r="C24" s="52"/>
      <c r="D24" s="52"/>
      <c r="E24" s="52"/>
      <c r="G24" s="842" t="s">
        <v>377</v>
      </c>
      <c r="H24" s="843"/>
      <c r="I24" s="256"/>
      <c r="J24" s="256"/>
      <c r="K24" s="844"/>
      <c r="L24" s="845">
        <v>6900000</v>
      </c>
      <c r="M24" s="93"/>
      <c r="P24" s="93"/>
      <c r="Q24" s="837"/>
      <c r="S24" s="88"/>
    </row>
    <row r="25" spans="1:19" customHeight="1" ht="18.95" s="33" customFormat="1">
      <c r="B25" s="42" t="s">
        <v>313</v>
      </c>
      <c r="C25" s="52"/>
      <c r="D25" s="52"/>
      <c r="E25" s="52"/>
      <c r="G25" s="842" t="s">
        <v>167</v>
      </c>
      <c r="H25" s="846">
        <v>0</v>
      </c>
      <c r="I25" s="294">
        <v>0</v>
      </c>
      <c r="J25" s="294">
        <v>0</v>
      </c>
      <c r="K25" s="847">
        <v>0</v>
      </c>
      <c r="L25" s="848">
        <v>1311000</v>
      </c>
      <c r="M25" s="93"/>
      <c r="P25" s="93"/>
      <c r="Q25" s="837"/>
      <c r="S25" s="88"/>
    </row>
    <row r="26" spans="1:19" customHeight="1" ht="18.95" s="496" customFormat="1">
      <c r="A26" s="496" t="s">
        <v>378</v>
      </c>
      <c r="G26" s="849"/>
      <c r="H26" s="850">
        <f>SUM(H19:H25)</f>
        <v>0</v>
      </c>
      <c r="I26" s="850">
        <f>SUM(I19:I25)</f>
        <v>0</v>
      </c>
      <c r="J26" s="850">
        <f>SUM(J19:J25)</f>
        <v>0</v>
      </c>
      <c r="K26" s="850">
        <f>SUM(K19:K25)</f>
        <v>0</v>
      </c>
      <c r="L26" s="850">
        <f>SUM(L19:L25)</f>
        <v>39843535.38</v>
      </c>
      <c r="M26" s="826"/>
      <c r="N26" s="500"/>
      <c r="P26" s="851"/>
      <c r="Q26" s="852"/>
      <c r="S26" s="853"/>
    </row>
    <row r="27" spans="1:19" customHeight="1" ht="18.95" s="496" customFormat="1">
      <c r="G27" s="849"/>
      <c r="H27" s="854"/>
      <c r="I27" s="849"/>
      <c r="J27" s="849"/>
      <c r="K27" s="854"/>
      <c r="L27" s="855"/>
      <c r="M27" s="826"/>
      <c r="N27" s="500"/>
      <c r="P27" s="851"/>
      <c r="Q27" s="852"/>
      <c r="S27" s="853"/>
    </row>
    <row r="28" spans="1:19" customHeight="1" ht="18.95" s="273" customFormat="1">
      <c r="A28" s="21" t="s">
        <v>379</v>
      </c>
      <c r="B28" s="565"/>
      <c r="C28" s="565"/>
      <c r="D28" s="565"/>
      <c r="E28" s="565"/>
      <c r="F28" s="705"/>
      <c r="G28" s="829"/>
      <c r="H28" s="830"/>
      <c r="I28" s="829"/>
      <c r="J28" s="829"/>
      <c r="K28" s="830"/>
      <c r="L28" s="831"/>
      <c r="M28" s="826"/>
      <c r="P28" s="826"/>
      <c r="Q28" s="827"/>
      <c r="S28" s="828"/>
    </row>
    <row r="29" spans="1:19" customHeight="1" ht="18.95" s="33" customFormat="1">
      <c r="A29" s="832" t="s">
        <v>204</v>
      </c>
      <c r="B29" s="833"/>
      <c r="C29" s="833"/>
      <c r="D29" s="833"/>
      <c r="E29" s="833"/>
      <c r="G29" s="834"/>
      <c r="H29" s="835"/>
      <c r="I29" s="834"/>
      <c r="J29" s="834"/>
      <c r="K29" s="835"/>
      <c r="L29" s="836"/>
      <c r="M29" s="93"/>
      <c r="P29" s="93"/>
      <c r="Q29" s="837"/>
      <c r="S29" s="88"/>
    </row>
    <row r="30" spans="1:19" customHeight="1" ht="18.95" s="33" customFormat="1">
      <c r="B30" s="42" t="s">
        <v>380</v>
      </c>
      <c r="C30" s="52"/>
      <c r="D30" s="52"/>
      <c r="E30" s="52"/>
      <c r="G30" s="842" t="s">
        <v>381</v>
      </c>
      <c r="H30" s="856"/>
      <c r="I30" s="842"/>
      <c r="J30" s="842"/>
      <c r="K30" s="857"/>
      <c r="L30" s="841">
        <v>12509000</v>
      </c>
      <c r="M30" s="93"/>
      <c r="P30" s="93"/>
      <c r="Q30" s="837"/>
      <c r="S30" s="88"/>
    </row>
    <row r="31" spans="1:19" customHeight="1" ht="18.95" s="33" customFormat="1">
      <c r="B31" s="42" t="s">
        <v>376</v>
      </c>
      <c r="C31" s="52"/>
      <c r="D31" s="52"/>
      <c r="E31" s="52"/>
      <c r="G31" s="842" t="s">
        <v>377</v>
      </c>
      <c r="H31" s="858">
        <v>0</v>
      </c>
      <c r="I31" s="859">
        <v>0</v>
      </c>
      <c r="J31" s="859">
        <v>0</v>
      </c>
      <c r="K31" s="860">
        <v>0</v>
      </c>
      <c r="L31" s="848">
        <v>3450000</v>
      </c>
      <c r="M31" s="93"/>
      <c r="P31" s="93"/>
      <c r="Q31" s="837"/>
      <c r="S31" s="88"/>
    </row>
    <row r="32" spans="1:19" customHeight="1" ht="18.95" s="496" customFormat="1">
      <c r="A32" s="496" t="s">
        <v>382</v>
      </c>
      <c r="G32" s="849"/>
      <c r="H32" s="850">
        <f>SUM(H30:H31)</f>
        <v>0</v>
      </c>
      <c r="I32" s="850">
        <f>SUM(I30:I31)</f>
        <v>0</v>
      </c>
      <c r="J32" s="850">
        <f>SUM(J30:J31)</f>
        <v>0</v>
      </c>
      <c r="K32" s="850">
        <f>SUM(K30:K31)</f>
        <v>0</v>
      </c>
      <c r="L32" s="850">
        <f>SUM(L30:L31)</f>
        <v>15959000</v>
      </c>
      <c r="M32" s="826"/>
      <c r="N32" s="500"/>
      <c r="P32" s="851"/>
      <c r="Q32" s="852"/>
      <c r="S32" s="853"/>
    </row>
    <row r="33" spans="1:19" customHeight="1" ht="12" s="496" customFormat="1">
      <c r="A33" s="485"/>
      <c r="B33" s="485"/>
      <c r="C33" s="485"/>
      <c r="D33" s="485"/>
      <c r="E33" s="485"/>
      <c r="F33" s="485"/>
      <c r="G33" s="861"/>
      <c r="H33" s="862"/>
      <c r="I33" s="861"/>
      <c r="J33" s="861"/>
      <c r="K33" s="862"/>
      <c r="L33" s="863"/>
      <c r="M33" s="826"/>
      <c r="N33" s="500"/>
      <c r="P33" s="851"/>
      <c r="Q33" s="852"/>
      <c r="S33" s="853"/>
    </row>
    <row r="34" spans="1:19" customHeight="1" ht="15" s="273" customFormat="1">
      <c r="A34" s="21" t="s">
        <v>383</v>
      </c>
      <c r="B34" s="565"/>
      <c r="C34" s="565"/>
      <c r="D34" s="565"/>
      <c r="E34" s="565"/>
      <c r="F34" s="705"/>
      <c r="G34" s="829"/>
      <c r="H34" s="830"/>
      <c r="I34" s="829"/>
      <c r="J34" s="829"/>
      <c r="K34" s="830"/>
      <c r="L34" s="831"/>
      <c r="M34" s="826"/>
      <c r="P34" s="826"/>
      <c r="Q34" s="827"/>
      <c r="S34" s="828"/>
    </row>
    <row r="35" spans="1:19" customHeight="1" ht="15" s="33" customFormat="1">
      <c r="A35" s="832" t="s">
        <v>204</v>
      </c>
      <c r="B35" s="833"/>
      <c r="C35" s="833"/>
      <c r="D35" s="833"/>
      <c r="E35" s="833"/>
      <c r="G35" s="834"/>
      <c r="H35" s="835"/>
      <c r="I35" s="834"/>
      <c r="J35" s="834"/>
      <c r="K35" s="835"/>
      <c r="L35" s="836"/>
      <c r="M35" s="93"/>
      <c r="P35" s="93"/>
      <c r="Q35" s="837"/>
      <c r="S35" s="88"/>
    </row>
    <row r="36" spans="1:19" customHeight="1" ht="15" s="33" customFormat="1">
      <c r="B36" s="42" t="s">
        <v>384</v>
      </c>
      <c r="C36" s="52"/>
      <c r="D36" s="52"/>
      <c r="E36" s="52"/>
      <c r="G36" s="864" t="s">
        <v>385</v>
      </c>
      <c r="H36" s="865"/>
      <c r="I36" s="864"/>
      <c r="J36" s="864"/>
      <c r="K36" s="866"/>
      <c r="L36" s="867">
        <v>65550000</v>
      </c>
      <c r="M36" s="93"/>
      <c r="P36" s="93"/>
      <c r="Q36" s="837"/>
      <c r="S36" s="88"/>
    </row>
    <row r="37" spans="1:19" customHeight="1" ht="15" s="33" customFormat="1">
      <c r="B37" s="42" t="s">
        <v>376</v>
      </c>
      <c r="C37" s="52"/>
      <c r="D37" s="52"/>
      <c r="E37" s="52"/>
      <c r="G37" s="864" t="s">
        <v>377</v>
      </c>
      <c r="H37" s="865"/>
      <c r="I37" s="864"/>
      <c r="J37" s="864"/>
      <c r="K37" s="866"/>
      <c r="L37" s="848">
        <f>3450000+3360345.68</f>
        <v>6810345.68</v>
      </c>
      <c r="M37" s="93"/>
      <c r="P37" s="93"/>
      <c r="Q37" s="837"/>
      <c r="S37" s="88"/>
    </row>
    <row r="38" spans="1:19" customHeight="1" ht="15" s="33" customFormat="1">
      <c r="A38" s="832" t="s">
        <v>386</v>
      </c>
      <c r="B38" s="42"/>
      <c r="C38" s="52"/>
      <c r="D38" s="52"/>
      <c r="E38" s="52"/>
      <c r="G38" s="864"/>
      <c r="H38" s="865"/>
      <c r="I38" s="864"/>
      <c r="J38" s="864"/>
      <c r="K38" s="866"/>
      <c r="L38" s="868">
        <f>SUM(L36:L37)</f>
        <v>72360345.68</v>
      </c>
      <c r="M38" s="93"/>
      <c r="P38" s="93"/>
      <c r="Q38" s="837"/>
      <c r="S38" s="88"/>
    </row>
    <row r="39" spans="1:19" customHeight="1" ht="9.75" s="33" customFormat="1">
      <c r="B39" s="42"/>
      <c r="C39" s="52"/>
      <c r="D39" s="52"/>
      <c r="E39" s="52"/>
      <c r="G39" s="842"/>
      <c r="H39" s="856"/>
      <c r="I39" s="842"/>
      <c r="J39" s="842"/>
      <c r="K39" s="857"/>
      <c r="L39" s="846"/>
      <c r="M39" s="93"/>
      <c r="P39" s="93"/>
      <c r="Q39" s="837"/>
      <c r="S39" s="88"/>
    </row>
    <row r="40" spans="1:19" customHeight="1" ht="15" s="496" customFormat="1">
      <c r="A40" s="832" t="s">
        <v>387</v>
      </c>
      <c r="G40" s="849"/>
      <c r="H40" s="854"/>
      <c r="I40" s="849"/>
      <c r="J40" s="849"/>
      <c r="K40" s="854"/>
      <c r="L40" s="869"/>
      <c r="M40" s="826"/>
      <c r="N40" s="500"/>
      <c r="P40" s="851"/>
      <c r="Q40" s="852"/>
      <c r="S40" s="853"/>
    </row>
    <row r="41" spans="1:19" customHeight="1" ht="15" s="496" customFormat="1">
      <c r="B41" s="42" t="s">
        <v>388</v>
      </c>
      <c r="G41" s="842"/>
      <c r="H41" s="856"/>
      <c r="I41" s="842"/>
      <c r="J41" s="842"/>
      <c r="K41" s="857"/>
      <c r="L41" s="870"/>
      <c r="M41" s="826"/>
      <c r="N41" s="500"/>
      <c r="P41" s="851"/>
      <c r="Q41" s="852"/>
      <c r="S41" s="853"/>
    </row>
    <row r="42" spans="1:19" customHeight="1" ht="15" s="496" customFormat="1">
      <c r="B42" s="42"/>
      <c r="C42" s="43" t="s">
        <v>175</v>
      </c>
      <c r="G42" s="842" t="s">
        <v>176</v>
      </c>
      <c r="H42" s="856"/>
      <c r="I42" s="842"/>
      <c r="J42" s="842"/>
      <c r="K42" s="857"/>
      <c r="L42" s="871">
        <v>44738822.6</v>
      </c>
      <c r="M42" s="500"/>
      <c r="O42" s="851"/>
      <c r="P42" s="852"/>
      <c r="R42" s="853"/>
    </row>
    <row r="43" spans="1:19" customHeight="1" ht="15" s="496" customFormat="1">
      <c r="C43" s="43" t="s">
        <v>174</v>
      </c>
      <c r="G43" s="842" t="s">
        <v>177</v>
      </c>
      <c r="H43" s="856"/>
      <c r="I43" s="842"/>
      <c r="J43" s="842"/>
      <c r="K43" s="857"/>
      <c r="L43" s="872">
        <v>23068362.54</v>
      </c>
      <c r="M43" s="500"/>
      <c r="O43" s="851"/>
      <c r="P43" s="852"/>
      <c r="R43" s="853"/>
    </row>
    <row r="44" spans="1:19" customHeight="1" ht="15" s="496" customFormat="1">
      <c r="C44" s="43" t="s">
        <v>178</v>
      </c>
      <c r="G44" s="842" t="s">
        <v>179</v>
      </c>
      <c r="H44" s="846">
        <v>0</v>
      </c>
      <c r="I44" s="294">
        <v>0</v>
      </c>
      <c r="J44" s="294">
        <v>0</v>
      </c>
      <c r="K44" s="847">
        <v>0</v>
      </c>
      <c r="L44" s="848">
        <v>0</v>
      </c>
      <c r="M44" s="500"/>
      <c r="O44" s="851"/>
      <c r="P44" s="852"/>
      <c r="R44" s="853"/>
    </row>
    <row r="45" spans="1:19" customHeight="1" ht="15" s="496" customFormat="1">
      <c r="A45" s="832" t="s">
        <v>389</v>
      </c>
      <c r="C45" s="43"/>
      <c r="G45" s="842"/>
      <c r="H45" s="873">
        <f>SUM(H42:H44)</f>
        <v>0</v>
      </c>
      <c r="I45" s="873">
        <f>SUM(I42:I44)</f>
        <v>0</v>
      </c>
      <c r="J45" s="873">
        <f>SUM(J42:J44)</f>
        <v>0</v>
      </c>
      <c r="K45" s="873">
        <f>SUM(K42:K44)</f>
        <v>0</v>
      </c>
      <c r="L45" s="873">
        <f>SUM(L42:L44)</f>
        <v>67807185.14</v>
      </c>
      <c r="M45" s="500"/>
      <c r="O45" s="851"/>
      <c r="P45" s="852"/>
      <c r="R45" s="853"/>
    </row>
    <row r="46" spans="1:19" customHeight="1" ht="15" s="496" customFormat="1">
      <c r="A46" s="496" t="s">
        <v>383</v>
      </c>
      <c r="G46" s="849"/>
      <c r="H46" s="850">
        <f>H45+H38</f>
        <v>0</v>
      </c>
      <c r="I46" s="850">
        <f>I45+I38</f>
        <v>0</v>
      </c>
      <c r="J46" s="850">
        <f>J45+J38</f>
        <v>0</v>
      </c>
      <c r="K46" s="850">
        <f>K45+K38</f>
        <v>0</v>
      </c>
      <c r="L46" s="850">
        <f>L45+L38</f>
        <v>140167530.82</v>
      </c>
      <c r="M46" s="826"/>
      <c r="N46" s="500"/>
      <c r="P46" s="851"/>
      <c r="Q46" s="852"/>
      <c r="S46" s="853"/>
    </row>
    <row r="47" spans="1:19" customHeight="1" ht="10.5" s="496" customFormat="1">
      <c r="G47" s="849"/>
      <c r="H47" s="854"/>
      <c r="I47" s="849"/>
      <c r="J47" s="849"/>
      <c r="K47" s="854"/>
      <c r="L47" s="869"/>
      <c r="M47" s="826"/>
      <c r="N47" s="500"/>
      <c r="P47" s="851"/>
      <c r="Q47" s="852"/>
      <c r="S47" s="853"/>
    </row>
    <row r="48" spans="1:19" customHeight="1" ht="15" s="496" customFormat="1">
      <c r="A48" s="496" t="s">
        <v>390</v>
      </c>
      <c r="G48" s="849"/>
      <c r="H48" s="874">
        <f>H46+H32+H26</f>
        <v>0</v>
      </c>
      <c r="I48" s="874">
        <f>I46+I32+I26</f>
        <v>0</v>
      </c>
      <c r="J48" s="874">
        <f>J46+J32+J26</f>
        <v>0</v>
      </c>
      <c r="K48" s="874">
        <f>K46+K32+K26</f>
        <v>0</v>
      </c>
      <c r="L48" s="874">
        <f>L46+L32+L26</f>
        <v>195970066.2</v>
      </c>
      <c r="M48" s="875"/>
      <c r="N48" s="500"/>
      <c r="P48" s="851"/>
      <c r="Q48" s="852"/>
      <c r="S48" s="853"/>
    </row>
    <row r="49" spans="1:19" customHeight="1" ht="5.25" s="9" customFormat="1">
      <c r="A49" s="876"/>
      <c r="B49" s="876"/>
      <c r="C49" s="876"/>
      <c r="D49" s="876"/>
      <c r="E49" s="876"/>
      <c r="F49" s="73"/>
      <c r="G49" s="877"/>
      <c r="H49" s="878"/>
      <c r="I49" s="877"/>
      <c r="J49" s="877"/>
      <c r="K49" s="878"/>
      <c r="L49" s="879"/>
      <c r="M49" s="93"/>
      <c r="P49" s="93"/>
      <c r="Q49" s="125"/>
      <c r="S49" s="88"/>
    </row>
    <row r="50" spans="1:19" customHeight="1" ht="6" s="273" customFormat="1">
      <c r="A50" s="6"/>
      <c r="B50" s="6"/>
      <c r="G50" s="274"/>
      <c r="H50" s="274"/>
    </row>
    <row r="51" spans="1:19" customHeight="1" ht="18" s="9" customFormat="1">
      <c r="A51" s="9" t="s">
        <v>182</v>
      </c>
      <c r="I51" s="275"/>
      <c r="J51" s="275"/>
      <c r="K51" s="275"/>
      <c r="L51" s="275"/>
    </row>
    <row r="52" spans="1:19" customHeight="1" ht="12" s="9" customFormat="1">
      <c r="G52" s="276"/>
      <c r="H52" s="276"/>
      <c r="I52" s="276"/>
      <c r="J52" s="276"/>
      <c r="K52" s="276"/>
      <c r="L52" s="276"/>
    </row>
    <row r="53" spans="1:19" customHeight="1" ht="18" s="9" customFormat="1">
      <c r="A53" s="1487" t="s">
        <v>183</v>
      </c>
      <c r="B53" s="1487"/>
      <c r="C53" s="1487"/>
      <c r="D53" s="277"/>
      <c r="E53" s="277"/>
      <c r="F53" s="278" t="s">
        <v>184</v>
      </c>
      <c r="G53" s="275"/>
      <c r="H53" s="275"/>
      <c r="I53" s="275"/>
      <c r="J53" s="276" t="s">
        <v>185</v>
      </c>
      <c r="K53" s="1488"/>
      <c r="L53" s="1488"/>
    </row>
    <row r="54" spans="1:19" customHeight="1" ht="15" s="9" customFormat="1"/>
    <row r="55" spans="1:19" customHeight="1" ht="15" s="9" customFormat="1"/>
    <row r="56" spans="1:19" customHeight="1" ht="14.25" s="11" customFormat="1">
      <c r="A56" s="1489" t="s">
        <v>186</v>
      </c>
      <c r="B56" s="1489"/>
      <c r="C56" s="1489"/>
      <c r="D56" s="1489"/>
      <c r="E56" s="1489"/>
      <c r="F56" s="1489" t="s">
        <v>187</v>
      </c>
      <c r="G56" s="1489"/>
      <c r="H56" s="1489"/>
      <c r="I56" s="1489"/>
      <c r="J56" s="1489" t="s">
        <v>186</v>
      </c>
      <c r="K56" s="1489"/>
      <c r="L56" s="1489"/>
    </row>
    <row r="57" spans="1:19" customHeight="1" ht="12" s="11" customFormat="1">
      <c r="A57" s="1468" t="s">
        <v>188</v>
      </c>
      <c r="B57" s="1468"/>
      <c r="C57" s="1468"/>
      <c r="D57" s="1468"/>
      <c r="E57" s="1468"/>
      <c r="F57" s="1468" t="s">
        <v>189</v>
      </c>
      <c r="G57" s="1468"/>
      <c r="H57" s="1468"/>
      <c r="I57" s="1468"/>
      <c r="J57" s="1468" t="s">
        <v>188</v>
      </c>
      <c r="K57" s="1468"/>
      <c r="L57" s="1468"/>
    </row>
    <row r="58" spans="1:19" customHeight="1" ht="12" s="9" customFormat="1">
      <c r="A58" s="1468"/>
      <c r="B58" s="1468"/>
      <c r="C58" s="1468"/>
      <c r="D58" s="1468"/>
      <c r="E58" s="1468"/>
      <c r="F58" s="1468" t="s">
        <v>190</v>
      </c>
      <c r="G58" s="1468"/>
      <c r="H58" s="1468"/>
      <c r="I58" s="1468"/>
      <c r="J58" s="1468"/>
      <c r="K58" s="1468"/>
      <c r="L58" s="1468"/>
    </row>
    <row r="59" spans="1:19" customHeight="1" ht="8.25">
      <c r="A59" s="9"/>
      <c r="B59" s="9"/>
      <c r="C59" s="9"/>
      <c r="D59" s="9"/>
      <c r="E59" s="9"/>
      <c r="F59" s="7"/>
      <c r="G59" s="9"/>
      <c r="H59" s="9"/>
      <c r="I59" s="9"/>
      <c r="J59" s="9"/>
      <c r="K59" s="9"/>
      <c r="L59" s="11"/>
    </row>
    <row r="60" spans="1:19" customHeight="1" ht="19.15" s="11" customFormat="1">
      <c r="A60" s="342"/>
      <c r="B60" s="343"/>
      <c r="C60" s="342"/>
      <c r="D60" s="177"/>
      <c r="E60" s="177"/>
      <c r="F60" s="177"/>
      <c r="G60" s="22"/>
      <c r="H60" s="22"/>
      <c r="I60" s="22"/>
      <c r="J60" s="22"/>
      <c r="K60" s="22"/>
      <c r="M60" s="880"/>
      <c r="N60" s="9"/>
      <c r="O60" s="9"/>
      <c r="P60" s="93"/>
      <c r="Q60" s="149"/>
      <c r="S60" s="82"/>
    </row>
    <row r="61" spans="1:19" customHeight="1" ht="15">
      <c r="A61" s="388"/>
      <c r="B61" s="9"/>
      <c r="C61" s="351"/>
      <c r="D61" s="1491"/>
      <c r="E61" s="1491"/>
      <c r="F61" s="1491"/>
      <c r="G61" s="1491"/>
      <c r="H61" s="1491"/>
      <c r="I61" s="1491"/>
      <c r="J61" s="1491"/>
      <c r="K61" s="1491"/>
      <c r="L61" s="1491"/>
    </row>
    <row r="62" spans="1:19" customHeight="1" ht="18" s="2" customFormat="1">
      <c r="A62" s="18"/>
      <c r="B62" s="18"/>
      <c r="C62" s="27"/>
      <c r="D62" s="1491"/>
      <c r="E62" s="1491"/>
      <c r="F62" s="1491"/>
      <c r="G62" s="1491"/>
      <c r="H62" s="1491"/>
      <c r="I62" s="1491"/>
      <c r="J62" s="1491"/>
      <c r="K62" s="1491"/>
      <c r="L62" s="1491"/>
      <c r="M62" s="95"/>
      <c r="N62" s="101"/>
      <c r="O62" s="101"/>
      <c r="P62" s="95"/>
      <c r="Q62" s="116"/>
      <c r="S62" s="81"/>
    </row>
    <row r="63" spans="1:19" customHeight="1" ht="18" s="2" customFormat="1">
      <c r="A63" s="18"/>
      <c r="B63" s="18"/>
      <c r="C63" s="27"/>
      <c r="D63" s="1491"/>
      <c r="E63" s="1491"/>
      <c r="F63" s="1491"/>
      <c r="G63" s="1491"/>
      <c r="H63" s="1491"/>
      <c r="I63" s="1491"/>
      <c r="J63" s="1491"/>
      <c r="K63" s="1491"/>
      <c r="L63" s="1491"/>
      <c r="M63" s="95"/>
      <c r="N63" s="101"/>
      <c r="O63" s="101"/>
      <c r="P63" s="95"/>
      <c r="Q63" s="116"/>
      <c r="S63" s="81"/>
    </row>
    <row r="64" spans="1:19" customHeight="1" ht="18" s="2" customFormat="1">
      <c r="A64" s="18"/>
      <c r="B64" s="18"/>
      <c r="C64" s="27"/>
      <c r="D64" s="1491"/>
      <c r="E64" s="1491"/>
      <c r="F64" s="1491"/>
      <c r="G64" s="1491"/>
      <c r="H64" s="1491"/>
      <c r="I64" s="1491"/>
      <c r="J64" s="1491"/>
      <c r="K64" s="1491"/>
      <c r="L64" s="1491"/>
      <c r="M64" s="95"/>
      <c r="N64" s="101"/>
      <c r="O64" s="101"/>
      <c r="P64" s="95"/>
      <c r="Q64" s="116"/>
      <c r="S64" s="81"/>
    </row>
    <row r="65" spans="1:19" customHeight="1" ht="18" s="2" customFormat="1">
      <c r="A65" s="18"/>
      <c r="B65" s="18"/>
      <c r="C65" s="27"/>
      <c r="D65" s="1491"/>
      <c r="E65" s="1491"/>
      <c r="F65" s="1491"/>
      <c r="G65" s="1491"/>
      <c r="H65" s="1491"/>
      <c r="I65" s="1491"/>
      <c r="J65" s="1491"/>
      <c r="K65" s="1491"/>
      <c r="L65" s="1491"/>
      <c r="M65" s="95"/>
      <c r="N65" s="101"/>
      <c r="O65" s="101"/>
      <c r="P65" s="95"/>
      <c r="Q65" s="116"/>
      <c r="S65" s="81"/>
    </row>
    <row r="66" spans="1:19" customHeight="1" ht="15" s="10" customFormat="1">
      <c r="A66" s="391"/>
      <c r="B66" s="391"/>
      <c r="C66" s="391"/>
      <c r="D66" s="391"/>
      <c r="E66" s="391"/>
      <c r="G66" s="392"/>
      <c r="H66" s="392"/>
      <c r="I66" s="392"/>
      <c r="J66" s="392"/>
      <c r="K66" s="392"/>
      <c r="L66" s="392"/>
      <c r="M66" s="129"/>
      <c r="N66" s="135"/>
      <c r="O66" s="79"/>
      <c r="P66" s="98"/>
      <c r="Q66" s="123"/>
      <c r="S66" s="8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61:L65"/>
    <mergeCell ref="A57:E57"/>
    <mergeCell ref="F57:I57"/>
    <mergeCell ref="J57:L57"/>
    <mergeCell ref="A58:E58"/>
    <mergeCell ref="F58:I58"/>
    <mergeCell ref="J58:L58"/>
    <mergeCell ref="A15:F15"/>
    <mergeCell ref="A53:C53"/>
    <mergeCell ref="K53:L53"/>
    <mergeCell ref="A56:E56"/>
    <mergeCell ref="F56:I56"/>
    <mergeCell ref="J56:L56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3" footer="0.3"/>
  <pageSetup paperSize="14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388"/>
  <sheetViews>
    <sheetView tabSelected="0" workbookViewId="0" zoomScale="120" view="pageBreakPreview" showGridLines="false" showRowColHeaders="1">
      <selection activeCell="A5" sqref="A5:L5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2.7109375" customWidth="true" style="9"/>
    <col min="6" max="6" width="12.7109375" customWidth="true" style="9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11"/>
    <col min="12" max="12" width="16.7109375" customWidth="true" style="1001"/>
    <col min="13" max="13" width="16" customWidth="true" style="529"/>
    <col min="14" max="14" width="16" customWidth="true" style="0"/>
  </cols>
  <sheetData>
    <row r="1" spans="1:21" customHeight="1" ht="9.95" s="173" customFormat="1">
      <c r="A1" s="173" t="s">
        <v>0</v>
      </c>
      <c r="J1" s="174"/>
      <c r="L1" s="175"/>
    </row>
    <row r="2" spans="1:21" customHeight="1" ht="9.95" s="173" customFormat="1">
      <c r="A2" s="173" t="s">
        <v>1</v>
      </c>
      <c r="J2" s="174"/>
      <c r="L2" s="175"/>
    </row>
    <row r="3" spans="1:21" customHeight="1" ht="9.95" s="173" customFormat="1">
      <c r="A3" s="173" t="s">
        <v>2</v>
      </c>
      <c r="J3" s="174"/>
      <c r="L3" s="175"/>
    </row>
    <row r="4" spans="1:21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21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21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21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21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391</v>
      </c>
    </row>
    <row r="9" spans="1:21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21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21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21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21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21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21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21" customHeight="1" ht="15.95" s="531" customFormat="1">
      <c r="A16" s="15" t="s">
        <v>24</v>
      </c>
      <c r="B16" s="15"/>
      <c r="C16" s="15"/>
      <c r="D16" s="15"/>
      <c r="E16" s="15"/>
      <c r="F16" s="15"/>
      <c r="G16" s="881"/>
      <c r="H16" s="882"/>
      <c r="I16" s="587"/>
      <c r="J16" s="587"/>
      <c r="K16" s="883"/>
      <c r="L16" s="884"/>
      <c r="M16" s="807"/>
    </row>
    <row r="17" spans="1:21" customHeight="1" ht="15.95" s="531" customFormat="1">
      <c r="A17" s="58" t="s">
        <v>25</v>
      </c>
      <c r="B17" s="58"/>
      <c r="C17" s="15"/>
      <c r="D17" s="15"/>
      <c r="E17" s="15"/>
      <c r="F17" s="15"/>
      <c r="G17" s="885"/>
      <c r="H17" s="538"/>
      <c r="I17" s="538"/>
      <c r="J17" s="538"/>
      <c r="K17" s="883"/>
      <c r="L17" s="884"/>
      <c r="M17" s="807"/>
    </row>
    <row r="18" spans="1:21" customHeight="1" ht="15.95" s="2" customFormat="1">
      <c r="B18" s="9" t="s">
        <v>26</v>
      </c>
      <c r="C18" s="9"/>
      <c r="D18" s="9"/>
      <c r="E18" s="9"/>
      <c r="F18" s="9"/>
      <c r="G18" s="886" t="s">
        <v>27</v>
      </c>
      <c r="H18" s="887">
        <v>22466041.18</v>
      </c>
      <c r="I18" s="888">
        <v>11717725.93</v>
      </c>
      <c r="J18" s="888">
        <f>K18-I18</f>
        <v>14100298.07</v>
      </c>
      <c r="K18" s="888">
        <v>25818024</v>
      </c>
      <c r="L18" s="888">
        <v>27322308</v>
      </c>
      <c r="M18" s="889"/>
      <c r="N18" s="890"/>
    </row>
    <row r="19" spans="1:21" customHeight="1" ht="15.95" s="2" customFormat="1">
      <c r="B19" s="9" t="s">
        <v>28</v>
      </c>
      <c r="C19" s="9"/>
      <c r="D19" s="9"/>
      <c r="E19" s="9"/>
      <c r="F19" s="9"/>
      <c r="G19" s="886" t="s">
        <v>29</v>
      </c>
      <c r="H19" s="891">
        <v>1604090.89</v>
      </c>
      <c r="I19" s="538">
        <v>813909.09</v>
      </c>
      <c r="J19" s="538">
        <f>K19-I19</f>
        <v>986090.91</v>
      </c>
      <c r="K19" s="538">
        <v>1800000</v>
      </c>
      <c r="L19" s="538">
        <v>1800000</v>
      </c>
      <c r="M19" s="889"/>
      <c r="N19" s="890"/>
    </row>
    <row r="20" spans="1:21" customHeight="1" ht="15.95" s="2" customFormat="1">
      <c r="B20" s="9" t="s">
        <v>30</v>
      </c>
      <c r="C20" s="9"/>
      <c r="D20" s="9"/>
      <c r="E20" s="9"/>
      <c r="F20" s="9"/>
      <c r="G20" s="886" t="s">
        <v>31</v>
      </c>
      <c r="H20" s="891">
        <v>135000</v>
      </c>
      <c r="I20" s="538">
        <v>63000</v>
      </c>
      <c r="J20" s="538">
        <f>K20-I20</f>
        <v>72000</v>
      </c>
      <c r="K20" s="538">
        <v>135000</v>
      </c>
      <c r="L20" s="538">
        <v>135000</v>
      </c>
      <c r="M20" s="889"/>
      <c r="N20" s="890"/>
    </row>
    <row r="21" spans="1:21" customHeight="1" ht="15.95" s="2" customFormat="1">
      <c r="B21" s="9" t="s">
        <v>32</v>
      </c>
      <c r="C21" s="9"/>
      <c r="D21" s="9"/>
      <c r="E21" s="9"/>
      <c r="F21" s="9"/>
      <c r="G21" s="886" t="s">
        <v>33</v>
      </c>
      <c r="H21" s="891">
        <v>135000</v>
      </c>
      <c r="I21" s="538">
        <v>63000</v>
      </c>
      <c r="J21" s="538">
        <f>K21-I21</f>
        <v>72000</v>
      </c>
      <c r="K21" s="538">
        <v>135000</v>
      </c>
      <c r="L21" s="538">
        <v>135000</v>
      </c>
      <c r="M21" s="889"/>
      <c r="N21" s="890"/>
    </row>
    <row r="22" spans="1:21" customHeight="1" ht="15.95" s="2" customFormat="1">
      <c r="B22" s="9" t="s">
        <v>34</v>
      </c>
      <c r="C22" s="9"/>
      <c r="D22" s="9"/>
      <c r="E22" s="9"/>
      <c r="F22" s="9"/>
      <c r="G22" s="886" t="s">
        <v>35</v>
      </c>
      <c r="H22" s="891">
        <v>396000</v>
      </c>
      <c r="I22" s="538">
        <v>396000</v>
      </c>
      <c r="J22" s="538">
        <f>K22-I22</f>
        <v>54000</v>
      </c>
      <c r="K22" s="538">
        <v>450000</v>
      </c>
      <c r="L22" s="538">
        <v>450000</v>
      </c>
      <c r="M22" s="889"/>
      <c r="N22" s="890"/>
    </row>
    <row r="23" spans="1:21" customHeight="1" ht="15.95" s="2" customFormat="1">
      <c r="B23" s="9" t="s">
        <v>392</v>
      </c>
      <c r="C23" s="9"/>
      <c r="D23" s="9"/>
      <c r="E23" s="9"/>
      <c r="F23" s="9"/>
      <c r="G23" s="886" t="s">
        <v>393</v>
      </c>
      <c r="H23" s="891">
        <v>1211550</v>
      </c>
      <c r="I23" s="538">
        <v>497750</v>
      </c>
      <c r="J23" s="538">
        <f>K23-I23</f>
        <v>852250</v>
      </c>
      <c r="K23" s="538">
        <v>1350000</v>
      </c>
      <c r="L23" s="538">
        <v>1350000</v>
      </c>
      <c r="M23" s="889"/>
      <c r="N23" s="890"/>
    </row>
    <row r="24" spans="1:21" customHeight="1" ht="15.95" s="2" customFormat="1">
      <c r="B24" s="9" t="s">
        <v>394</v>
      </c>
      <c r="C24" s="9"/>
      <c r="D24" s="9"/>
      <c r="E24" s="9"/>
      <c r="F24" s="9"/>
      <c r="G24" s="886" t="s">
        <v>395</v>
      </c>
      <c r="H24" s="891">
        <v>123150</v>
      </c>
      <c r="I24" s="538">
        <v>48000</v>
      </c>
      <c r="J24" s="538">
        <f>K24-I24</f>
        <v>87000</v>
      </c>
      <c r="K24" s="538">
        <v>135000</v>
      </c>
      <c r="L24" s="538">
        <v>135000</v>
      </c>
      <c r="M24" s="889"/>
      <c r="N24" s="890"/>
    </row>
    <row r="25" spans="1:21" customHeight="1" ht="15.95" s="2" customFormat="1">
      <c r="B25" s="9" t="s">
        <v>396</v>
      </c>
      <c r="C25" s="9"/>
      <c r="D25" s="9"/>
      <c r="E25" s="9"/>
      <c r="F25" s="9"/>
      <c r="G25" s="886" t="s">
        <v>397</v>
      </c>
      <c r="H25" s="891">
        <v>345000</v>
      </c>
      <c r="I25" s="538">
        <v>147272.72</v>
      </c>
      <c r="J25" s="538">
        <f>K25-I25</f>
        <v>652727.28</v>
      </c>
      <c r="K25" s="538">
        <v>800000</v>
      </c>
      <c r="L25" s="538">
        <v>400000</v>
      </c>
      <c r="M25" s="889"/>
      <c r="N25" s="890"/>
    </row>
    <row r="26" spans="1:21" customHeight="1" ht="15.95" s="2" customFormat="1">
      <c r="B26" s="9" t="s">
        <v>398</v>
      </c>
      <c r="C26" s="9"/>
      <c r="D26" s="9"/>
      <c r="E26" s="9"/>
      <c r="F26" s="9"/>
      <c r="G26" s="886" t="s">
        <v>399</v>
      </c>
      <c r="H26" s="891">
        <v>6577839.75</v>
      </c>
      <c r="I26" s="538">
        <v>1478650</v>
      </c>
      <c r="J26" s="538">
        <f>K26-I26</f>
        <v>4584550</v>
      </c>
      <c r="K26" s="538">
        <v>6063200</v>
      </c>
      <c r="L26" s="538">
        <f>SUM(F27:F34)</f>
        <v>5663200</v>
      </c>
      <c r="M26" s="889"/>
      <c r="N26" s="890"/>
    </row>
    <row r="27" spans="1:21" customHeight="1" ht="15.95" s="2" customFormat="1">
      <c r="B27" s="26" t="s">
        <v>400</v>
      </c>
      <c r="C27" s="26"/>
      <c r="D27" s="9"/>
      <c r="E27" s="9"/>
      <c r="F27" s="77">
        <v>400000</v>
      </c>
      <c r="G27" s="886"/>
      <c r="H27" s="891"/>
      <c r="I27" s="538"/>
      <c r="J27" s="538"/>
      <c r="K27" s="538"/>
      <c r="L27" s="538"/>
      <c r="M27" s="889"/>
      <c r="N27" s="890"/>
    </row>
    <row r="28" spans="1:21" customHeight="1" ht="15.95" s="2" customFormat="1">
      <c r="A28" s="68"/>
      <c r="B28" s="29" t="s">
        <v>401</v>
      </c>
      <c r="C28" s="29"/>
      <c r="D28" s="28"/>
      <c r="E28" s="9"/>
      <c r="F28" s="9"/>
      <c r="G28" s="886"/>
      <c r="H28" s="891"/>
      <c r="I28" s="538"/>
      <c r="J28" s="538"/>
      <c r="K28" s="538"/>
      <c r="L28" s="538"/>
      <c r="M28" s="889"/>
      <c r="N28" s="890"/>
    </row>
    <row r="29" spans="1:21" customHeight="1" ht="15.95" s="2" customFormat="1">
      <c r="A29" s="68"/>
      <c r="B29" s="29" t="s">
        <v>402</v>
      </c>
      <c r="C29" s="29"/>
      <c r="D29" s="28"/>
      <c r="E29" s="9"/>
      <c r="F29" s="9"/>
      <c r="G29" s="886"/>
      <c r="H29" s="891"/>
      <c r="I29" s="538"/>
      <c r="J29" s="538"/>
      <c r="K29" s="538"/>
      <c r="L29" s="538"/>
      <c r="M29" s="889"/>
      <c r="N29" s="890"/>
    </row>
    <row r="30" spans="1:21" customHeight="1" ht="15.95" s="2" customFormat="1">
      <c r="A30" s="68"/>
      <c r="B30" s="29" t="s">
        <v>403</v>
      </c>
      <c r="C30" s="29"/>
      <c r="D30" s="28"/>
      <c r="E30" s="9"/>
      <c r="F30" s="9"/>
      <c r="G30" s="886"/>
      <c r="H30" s="891"/>
      <c r="I30" s="538"/>
      <c r="J30" s="538"/>
      <c r="K30" s="538"/>
      <c r="L30" s="538"/>
      <c r="M30" s="889"/>
      <c r="N30" s="890"/>
    </row>
    <row r="31" spans="1:21" customHeight="1" ht="15.95" s="2" customFormat="1">
      <c r="A31" s="68"/>
      <c r="B31" s="26" t="s">
        <v>404</v>
      </c>
      <c r="C31" s="26"/>
      <c r="D31" s="28"/>
      <c r="E31" s="9"/>
      <c r="F31" s="77">
        <v>3888000</v>
      </c>
      <c r="G31" s="886"/>
      <c r="H31" s="892"/>
      <c r="I31" s="542"/>
      <c r="J31" s="542"/>
      <c r="K31" s="542"/>
      <c r="L31" s="542"/>
      <c r="M31" s="889"/>
      <c r="N31" s="890"/>
    </row>
    <row r="32" spans="1:21" customHeight="1" ht="15.95" s="2" customFormat="1">
      <c r="A32" s="68"/>
      <c r="B32" s="26" t="s">
        <v>405</v>
      </c>
      <c r="C32" s="26"/>
      <c r="D32" s="28"/>
      <c r="E32" s="9"/>
      <c r="F32" s="77">
        <v>428400</v>
      </c>
      <c r="G32" s="886"/>
      <c r="H32" s="892"/>
      <c r="I32" s="542"/>
      <c r="J32" s="542"/>
      <c r="K32" s="542"/>
      <c r="L32" s="542"/>
      <c r="M32" s="889"/>
      <c r="N32" s="890"/>
    </row>
    <row r="33" spans="1:21" customHeight="1" ht="15.95" s="2" customFormat="1">
      <c r="A33" s="68"/>
      <c r="B33" s="26" t="s">
        <v>406</v>
      </c>
      <c r="C33" s="26"/>
      <c r="D33" s="28"/>
      <c r="E33" s="9"/>
      <c r="F33" s="77">
        <v>226800</v>
      </c>
      <c r="G33" s="886"/>
      <c r="H33" s="892"/>
      <c r="I33" s="542"/>
      <c r="J33" s="542"/>
      <c r="K33" s="542"/>
      <c r="L33" s="542"/>
      <c r="M33" s="889"/>
      <c r="N33" s="890"/>
    </row>
    <row r="34" spans="1:21" customHeight="1" ht="15.95" s="2" customFormat="1">
      <c r="A34" s="68"/>
      <c r="B34" s="26" t="s">
        <v>407</v>
      </c>
      <c r="C34" s="26"/>
      <c r="D34" s="28"/>
      <c r="E34" s="9"/>
      <c r="F34" s="893">
        <v>720000</v>
      </c>
      <c r="G34" s="886"/>
      <c r="H34" s="892">
        <v>0</v>
      </c>
      <c r="I34" s="542">
        <v>0</v>
      </c>
      <c r="J34" s="542">
        <v>0</v>
      </c>
      <c r="K34" s="542">
        <v>0</v>
      </c>
      <c r="L34" s="542">
        <v>0</v>
      </c>
      <c r="M34" s="889"/>
      <c r="N34" s="890"/>
    </row>
    <row r="35" spans="1:21" customHeight="1" ht="15.95" s="19" customFormat="1">
      <c r="A35" s="263" t="s">
        <v>408</v>
      </c>
      <c r="B35" s="263"/>
      <c r="C35" s="263"/>
      <c r="D35" s="263"/>
      <c r="E35" s="263"/>
      <c r="F35" s="263"/>
      <c r="G35" s="894"/>
      <c r="H35" s="895">
        <f>SUM(H17:H34)</f>
        <v>32993671.82</v>
      </c>
      <c r="I35" s="895">
        <f>SUM(I17:I34)</f>
        <v>15225307.74</v>
      </c>
      <c r="J35" s="895">
        <f>SUM(J17:J34)</f>
        <v>21460916.26</v>
      </c>
      <c r="K35" s="895">
        <f>SUM(K17:K34)</f>
        <v>36686224</v>
      </c>
      <c r="L35" s="895">
        <f>SUM(L17:L34)</f>
        <v>37390508</v>
      </c>
      <c r="M35" s="896"/>
      <c r="N35" s="897"/>
    </row>
    <row r="36" spans="1:21" customHeight="1" ht="18.95" s="531" customFormat="1">
      <c r="A36" s="58" t="s">
        <v>25</v>
      </c>
      <c r="B36" s="58"/>
      <c r="C36" s="15"/>
      <c r="D36" s="15"/>
      <c r="E36" s="15"/>
      <c r="F36" s="15"/>
      <c r="G36" s="885"/>
      <c r="H36" s="538"/>
      <c r="I36" s="538"/>
      <c r="J36" s="538"/>
      <c r="K36" s="883"/>
      <c r="L36" s="884"/>
      <c r="M36" s="807"/>
    </row>
    <row r="37" spans="1:21" customHeight="1" ht="15.95" s="2" customFormat="1">
      <c r="B37" s="9" t="s">
        <v>409</v>
      </c>
      <c r="C37" s="9"/>
      <c r="D37" s="9"/>
      <c r="E37" s="9"/>
      <c r="F37" s="9"/>
      <c r="G37" s="886" t="s">
        <v>410</v>
      </c>
      <c r="H37" s="891">
        <v>4906798.56</v>
      </c>
      <c r="I37" s="538">
        <v>2060131.48</v>
      </c>
      <c r="J37" s="538">
        <f>K37-I37</f>
        <v>3500014.04</v>
      </c>
      <c r="K37" s="538">
        <v>5560145.52</v>
      </c>
      <c r="L37" s="538">
        <v>5844204.6</v>
      </c>
      <c r="M37" s="889"/>
      <c r="N37" s="890"/>
    </row>
    <row r="38" spans="1:21" customHeight="1" ht="18.95" s="2" customFormat="1">
      <c r="B38" s="9" t="s">
        <v>36</v>
      </c>
      <c r="C38" s="9"/>
      <c r="D38" s="9"/>
      <c r="E38" s="9"/>
      <c r="F38" s="9"/>
      <c r="G38" s="886" t="s">
        <v>37</v>
      </c>
      <c r="H38" s="891">
        <v>292593.05</v>
      </c>
      <c r="I38" s="538">
        <v>217566.6</v>
      </c>
      <c r="J38" s="538">
        <f>K38-I38</f>
        <v>582433.4</v>
      </c>
      <c r="K38" s="538">
        <v>800000</v>
      </c>
      <c r="L38" s="538">
        <v>800000</v>
      </c>
      <c r="M38" s="889"/>
      <c r="N38" s="890"/>
    </row>
    <row r="39" spans="1:21" customHeight="1" ht="18.95" s="2" customFormat="1">
      <c r="B39" s="9" t="s">
        <v>38</v>
      </c>
      <c r="C39" s="9"/>
      <c r="D39" s="9"/>
      <c r="E39" s="9"/>
      <c r="F39" s="9"/>
      <c r="G39" s="886" t="s">
        <v>39</v>
      </c>
      <c r="H39" s="891">
        <v>1894243.55</v>
      </c>
      <c r="I39" s="538">
        <v>0</v>
      </c>
      <c r="J39" s="538">
        <f>K39-I39</f>
        <v>2151502</v>
      </c>
      <c r="K39" s="538">
        <v>2151502</v>
      </c>
      <c r="L39" s="538">
        <v>2276859</v>
      </c>
      <c r="M39" s="889"/>
      <c r="N39" s="890"/>
    </row>
    <row r="40" spans="1:21" customHeight="1" ht="18.95" s="2" customFormat="1">
      <c r="B40" s="9" t="s">
        <v>40</v>
      </c>
      <c r="C40" s="9"/>
      <c r="D40" s="9"/>
      <c r="E40" s="9"/>
      <c r="F40" s="9"/>
      <c r="G40" s="886" t="s">
        <v>41</v>
      </c>
      <c r="H40" s="891">
        <v>341250</v>
      </c>
      <c r="I40" s="538">
        <v>0</v>
      </c>
      <c r="J40" s="538">
        <f>K40-I40</f>
        <v>375000</v>
      </c>
      <c r="K40" s="538">
        <v>375000</v>
      </c>
      <c r="L40" s="538">
        <v>375000</v>
      </c>
      <c r="M40" s="889"/>
      <c r="N40" s="890"/>
    </row>
    <row r="41" spans="1:21" customHeight="1" ht="18.95" s="2" customFormat="1">
      <c r="B41" s="9" t="s">
        <v>42</v>
      </c>
      <c r="C41" s="9"/>
      <c r="D41" s="9"/>
      <c r="E41" s="539"/>
      <c r="F41" s="539"/>
      <c r="G41" s="886" t="s">
        <v>43</v>
      </c>
      <c r="H41" s="891">
        <v>2077237</v>
      </c>
      <c r="I41" s="538">
        <v>1930233</v>
      </c>
      <c r="J41" s="538">
        <f>K41-I41</f>
        <v>596269</v>
      </c>
      <c r="K41" s="538">
        <v>2526502</v>
      </c>
      <c r="L41" s="538">
        <f>SUM(F42:F43)</f>
        <v>2651859</v>
      </c>
      <c r="M41" s="889"/>
      <c r="N41" s="890"/>
    </row>
    <row r="42" spans="1:21" customHeight="1" ht="18.95" s="2" customFormat="1">
      <c r="B42" s="29" t="s">
        <v>44</v>
      </c>
      <c r="C42" s="29"/>
      <c r="D42" s="9"/>
      <c r="E42" s="539"/>
      <c r="F42" s="539">
        <f>L39</f>
        <v>2276859</v>
      </c>
      <c r="G42" s="886"/>
      <c r="H42" s="891"/>
      <c r="I42" s="538"/>
      <c r="J42" s="538"/>
      <c r="K42" s="538"/>
      <c r="L42" s="538"/>
      <c r="M42" s="889"/>
      <c r="N42" s="890"/>
    </row>
    <row r="43" spans="1:21" customHeight="1" ht="18.95" s="2" customFormat="1">
      <c r="B43" s="29" t="s">
        <v>45</v>
      </c>
      <c r="C43" s="29"/>
      <c r="D43" s="9"/>
      <c r="E43" s="539"/>
      <c r="F43" s="618">
        <f>L40</f>
        <v>375000</v>
      </c>
      <c r="G43" s="886"/>
      <c r="H43" s="891"/>
      <c r="I43" s="538"/>
      <c r="J43" s="538"/>
      <c r="K43" s="538"/>
      <c r="L43" s="538"/>
      <c r="M43" s="889"/>
      <c r="N43" s="890"/>
    </row>
    <row r="44" spans="1:21" customHeight="1" ht="18.95" s="2" customFormat="1">
      <c r="B44" s="9" t="s">
        <v>46</v>
      </c>
      <c r="C44" s="9"/>
      <c r="D44" s="9"/>
      <c r="E44" s="9"/>
      <c r="F44" s="9"/>
      <c r="G44" s="886" t="s">
        <v>47</v>
      </c>
      <c r="H44" s="891">
        <v>2682095.95</v>
      </c>
      <c r="I44" s="538">
        <v>1406180.72</v>
      </c>
      <c r="J44" s="538">
        <f>K44-I44</f>
        <v>1691982.16</v>
      </c>
      <c r="K44" s="538">
        <v>3098162.88</v>
      </c>
      <c r="L44" s="538">
        <v>3278676.96</v>
      </c>
      <c r="M44" s="889"/>
      <c r="N44" s="890"/>
    </row>
    <row r="45" spans="1:21" customHeight="1" ht="18.95" s="2" customFormat="1">
      <c r="B45" s="9" t="s">
        <v>48</v>
      </c>
      <c r="C45" s="9"/>
      <c r="D45" s="9"/>
      <c r="E45" s="9"/>
      <c r="F45" s="9"/>
      <c r="G45" s="886" t="s">
        <v>49</v>
      </c>
      <c r="H45" s="891">
        <v>80400</v>
      </c>
      <c r="I45" s="538">
        <v>40900</v>
      </c>
      <c r="J45" s="538">
        <f>K45-I45</f>
        <v>49100</v>
      </c>
      <c r="K45" s="538">
        <v>90000</v>
      </c>
      <c r="L45" s="538">
        <v>90000</v>
      </c>
      <c r="M45" s="889"/>
      <c r="N45" s="890"/>
    </row>
    <row r="46" spans="1:21" customHeight="1" ht="18.95" s="2" customFormat="1">
      <c r="B46" s="9" t="s">
        <v>50</v>
      </c>
      <c r="C46" s="9"/>
      <c r="D46" s="9"/>
      <c r="E46" s="9"/>
      <c r="F46" s="9"/>
      <c r="G46" s="886" t="s">
        <v>51</v>
      </c>
      <c r="H46" s="891">
        <v>318798.74</v>
      </c>
      <c r="I46" s="538">
        <v>175096.23</v>
      </c>
      <c r="J46" s="538">
        <f>K46-I46</f>
        <v>337610.49</v>
      </c>
      <c r="K46" s="538">
        <v>512706.72</v>
      </c>
      <c r="L46" s="538">
        <v>611325.63</v>
      </c>
      <c r="M46" s="889"/>
      <c r="N46" s="890"/>
    </row>
    <row r="47" spans="1:21" customHeight="1" ht="18.95" s="2" customFormat="1">
      <c r="B47" s="9" t="s">
        <v>52</v>
      </c>
      <c r="C47" s="9"/>
      <c r="D47" s="9"/>
      <c r="E47" s="9"/>
      <c r="F47" s="9"/>
      <c r="G47" s="886" t="s">
        <v>53</v>
      </c>
      <c r="H47" s="891">
        <v>80200</v>
      </c>
      <c r="I47" s="538">
        <v>40838.65</v>
      </c>
      <c r="J47" s="538">
        <f>K47-I47</f>
        <v>49051.43</v>
      </c>
      <c r="K47" s="538">
        <v>89890.08</v>
      </c>
      <c r="L47" s="538">
        <v>90000</v>
      </c>
      <c r="M47" s="889"/>
      <c r="N47" s="890"/>
    </row>
    <row r="48" spans="1:21" customHeight="1" ht="18.95" s="2" customFormat="1">
      <c r="B48" s="9" t="s">
        <v>58</v>
      </c>
      <c r="C48" s="9"/>
      <c r="D48" s="9"/>
      <c r="E48" s="9"/>
      <c r="F48" s="9"/>
      <c r="G48" s="886" t="s">
        <v>59</v>
      </c>
      <c r="H48" s="892">
        <v>1687500</v>
      </c>
      <c r="I48" s="542">
        <v>0</v>
      </c>
      <c r="J48" s="542">
        <f>K48-I48</f>
        <v>0</v>
      </c>
      <c r="K48" s="542">
        <v>0</v>
      </c>
      <c r="L48" s="542">
        <v>0</v>
      </c>
      <c r="M48" s="889"/>
    </row>
    <row r="49" spans="1:21" customHeight="1" ht="18.95" s="19" customFormat="1">
      <c r="A49" s="18" t="s">
        <v>408</v>
      </c>
      <c r="B49" s="18"/>
      <c r="C49" s="18"/>
      <c r="D49" s="18"/>
      <c r="E49" s="18"/>
      <c r="F49" s="18"/>
      <c r="G49" s="898"/>
      <c r="H49" s="899">
        <f>SUM(H37:H48)</f>
        <v>14361116.85</v>
      </c>
      <c r="I49" s="899">
        <f>SUM(I37:I48)</f>
        <v>5870946.68</v>
      </c>
      <c r="J49" s="899">
        <f>SUM(J37:J48)</f>
        <v>9332962.52</v>
      </c>
      <c r="K49" s="899">
        <f>SUM(K37:K48)</f>
        <v>15203909.2</v>
      </c>
      <c r="L49" s="899">
        <f>SUM(L37:L48)</f>
        <v>16017925.19</v>
      </c>
      <c r="M49" s="896"/>
      <c r="N49" s="897"/>
    </row>
    <row r="50" spans="1:21" customHeight="1" ht="18.95" s="19" customFormat="1">
      <c r="A50" s="18" t="s">
        <v>61</v>
      </c>
      <c r="B50" s="18"/>
      <c r="C50" s="18"/>
      <c r="D50" s="18"/>
      <c r="E50" s="18"/>
      <c r="F50" s="18"/>
      <c r="G50" s="898"/>
      <c r="H50" s="899">
        <f>H35+H49</f>
        <v>47354788.67</v>
      </c>
      <c r="I50" s="899">
        <f>I35+I49</f>
        <v>21096254.42</v>
      </c>
      <c r="J50" s="899">
        <f>J35+J49</f>
        <v>30793878.78</v>
      </c>
      <c r="K50" s="899">
        <f>K35+K49</f>
        <v>51890133.2</v>
      </c>
      <c r="L50" s="899">
        <f>L35+L49</f>
        <v>53408433.19</v>
      </c>
      <c r="M50" s="896"/>
      <c r="N50" s="897"/>
    </row>
    <row r="51" spans="1:21" customHeight="1" ht="15.95" s="19" customFormat="1">
      <c r="A51" s="18"/>
      <c r="B51" s="18"/>
      <c r="C51" s="18"/>
      <c r="D51" s="18"/>
      <c r="E51" s="18"/>
      <c r="F51" s="18"/>
      <c r="G51" s="898"/>
      <c r="H51" s="899"/>
      <c r="I51" s="899"/>
      <c r="J51" s="899"/>
      <c r="K51" s="899"/>
      <c r="L51" s="899"/>
      <c r="M51" s="896"/>
    </row>
    <row r="52" spans="1:21" customHeight="1" ht="15.95" s="19" customFormat="1">
      <c r="A52" s="18"/>
      <c r="B52" s="18"/>
      <c r="C52" s="18"/>
      <c r="D52" s="18"/>
      <c r="E52" s="18"/>
      <c r="F52" s="18"/>
      <c r="G52" s="898"/>
      <c r="H52" s="899"/>
      <c r="I52" s="899"/>
      <c r="J52" s="899"/>
      <c r="K52" s="899"/>
      <c r="L52" s="899"/>
      <c r="M52" s="896"/>
    </row>
    <row r="53" spans="1:21" customHeight="1" ht="15.95" s="19" customFormat="1">
      <c r="A53" s="900"/>
      <c r="B53" s="900"/>
      <c r="C53" s="900"/>
      <c r="D53" s="900"/>
      <c r="E53" s="900"/>
      <c r="F53" s="900"/>
      <c r="G53" s="901"/>
      <c r="H53" s="902"/>
      <c r="I53" s="902"/>
      <c r="J53" s="902"/>
      <c r="K53" s="902"/>
      <c r="L53" s="902"/>
      <c r="M53" s="896"/>
    </row>
    <row r="54" spans="1:21" customHeight="1" ht="14.45" s="531" customFormat="1">
      <c r="A54" s="58" t="s">
        <v>411</v>
      </c>
      <c r="B54" s="58"/>
      <c r="C54" s="15"/>
      <c r="D54" s="15"/>
      <c r="E54" s="15"/>
      <c r="F54" s="15"/>
      <c r="G54" s="903"/>
      <c r="H54" s="904"/>
      <c r="I54" s="903"/>
      <c r="J54" s="903"/>
      <c r="K54" s="905"/>
      <c r="L54" s="884"/>
      <c r="M54" s="807"/>
    </row>
    <row r="55" spans="1:21" customHeight="1" ht="14.45" s="2" customFormat="1">
      <c r="B55" s="9" t="s">
        <v>63</v>
      </c>
      <c r="C55" s="9"/>
      <c r="D55" s="9"/>
      <c r="E55" s="9"/>
      <c r="F55" s="9"/>
      <c r="G55" s="906" t="s">
        <v>64</v>
      </c>
      <c r="H55" s="907">
        <f>399870+147240</f>
        <v>547110</v>
      </c>
      <c r="I55" s="908">
        <v>107970</v>
      </c>
      <c r="J55" s="908">
        <f>K55-I55</f>
        <v>692030</v>
      </c>
      <c r="K55" s="908">
        <v>800000</v>
      </c>
      <c r="L55" s="908">
        <f>SUM(F56:F57)</f>
        <v>700000</v>
      </c>
      <c r="M55" s="889"/>
    </row>
    <row r="56" spans="1:21" customHeight="1" ht="14.45" s="2" customFormat="1">
      <c r="B56" s="27"/>
      <c r="C56" s="27" t="s">
        <v>65</v>
      </c>
      <c r="D56" s="27"/>
      <c r="E56" s="27"/>
      <c r="F56" s="909">
        <v>400000</v>
      </c>
      <c r="G56" s="906"/>
      <c r="H56" s="907"/>
      <c r="I56" s="908"/>
      <c r="J56" s="908"/>
      <c r="K56" s="908"/>
      <c r="L56" s="908"/>
      <c r="M56" s="889"/>
    </row>
    <row r="57" spans="1:21" customHeight="1" ht="14.45" s="2" customFormat="1">
      <c r="B57" s="27"/>
      <c r="C57" s="27" t="s">
        <v>412</v>
      </c>
      <c r="D57" s="27"/>
      <c r="E57" s="27"/>
      <c r="F57" s="910">
        <v>300000</v>
      </c>
      <c r="G57" s="906"/>
      <c r="H57" s="907"/>
      <c r="I57" s="908"/>
      <c r="J57" s="908"/>
      <c r="K57" s="908"/>
      <c r="L57" s="908"/>
      <c r="M57" s="889"/>
    </row>
    <row r="58" spans="1:21" customHeight="1" ht="14.45" s="2" customFormat="1">
      <c r="B58" s="9" t="s">
        <v>72</v>
      </c>
      <c r="C58" s="9"/>
      <c r="D58" s="9"/>
      <c r="E58" s="9"/>
      <c r="F58" s="9"/>
      <c r="G58" s="906" t="s">
        <v>73</v>
      </c>
      <c r="H58" s="891">
        <v>231500</v>
      </c>
      <c r="I58" s="538">
        <v>9000</v>
      </c>
      <c r="J58" s="538">
        <f>K58-I58</f>
        <v>291000</v>
      </c>
      <c r="K58" s="538">
        <v>300000</v>
      </c>
      <c r="L58" s="538">
        <v>250000</v>
      </c>
      <c r="M58" s="889"/>
    </row>
    <row r="59" spans="1:21" customHeight="1" ht="14.45" s="2" customFormat="1">
      <c r="B59" s="9" t="s">
        <v>234</v>
      </c>
      <c r="C59" s="9"/>
      <c r="D59" s="9"/>
      <c r="E59" s="9"/>
      <c r="F59" s="9"/>
      <c r="G59" s="906" t="s">
        <v>77</v>
      </c>
      <c r="H59" s="538">
        <v>370000</v>
      </c>
      <c r="I59" s="538">
        <v>160000</v>
      </c>
      <c r="J59" s="538">
        <f>K59-I59</f>
        <v>240000</v>
      </c>
      <c r="K59" s="538">
        <v>400000</v>
      </c>
      <c r="L59" s="538">
        <v>300000</v>
      </c>
      <c r="M59" s="889"/>
    </row>
    <row r="60" spans="1:21" customHeight="1" ht="14.45" s="2" customFormat="1">
      <c r="B60" s="9" t="s">
        <v>413</v>
      </c>
      <c r="C60" s="9"/>
      <c r="D60" s="9"/>
      <c r="E60" s="9"/>
      <c r="F60" s="9"/>
      <c r="G60" s="906" t="s">
        <v>414</v>
      </c>
      <c r="H60" s="538">
        <v>3232034.45</v>
      </c>
      <c r="I60" s="538">
        <v>9595666.85</v>
      </c>
      <c r="J60" s="538">
        <f>K60-I60</f>
        <v>2404333.15</v>
      </c>
      <c r="K60" s="538">
        <v>12000000</v>
      </c>
      <c r="L60" s="538">
        <v>4000000</v>
      </c>
      <c r="M60" s="889"/>
    </row>
    <row r="61" spans="1:21" customHeight="1" ht="14.45" s="2" customFormat="1">
      <c r="B61" s="9" t="s">
        <v>415</v>
      </c>
      <c r="C61" s="9"/>
      <c r="D61" s="9"/>
      <c r="E61" s="9"/>
      <c r="F61" s="9"/>
      <c r="G61" s="906" t="s">
        <v>416</v>
      </c>
      <c r="H61" s="538">
        <f>2670074.2+159049</f>
        <v>2829123.2</v>
      </c>
      <c r="I61" s="538">
        <v>987415.5</v>
      </c>
      <c r="J61" s="538">
        <f>K61-I61</f>
        <v>1912584.5</v>
      </c>
      <c r="K61" s="538">
        <v>2900000</v>
      </c>
      <c r="L61" s="538">
        <f>SUM(F62:F63)</f>
        <v>2900000</v>
      </c>
      <c r="M61" s="889"/>
    </row>
    <row r="62" spans="1:21" customHeight="1" ht="14.45" s="2" customFormat="1">
      <c r="B62" s="27"/>
      <c r="C62" s="27" t="s">
        <v>65</v>
      </c>
      <c r="D62" s="27"/>
      <c r="E62" s="27"/>
      <c r="F62" s="909">
        <v>2500000</v>
      </c>
      <c r="G62" s="906"/>
      <c r="H62" s="907"/>
      <c r="I62" s="908"/>
      <c r="J62" s="908"/>
      <c r="K62" s="908"/>
      <c r="L62" s="908"/>
      <c r="M62" s="889"/>
    </row>
    <row r="63" spans="1:21" customHeight="1" ht="14.45" s="2" customFormat="1">
      <c r="B63" s="27"/>
      <c r="C63" s="27" t="s">
        <v>412</v>
      </c>
      <c r="D63" s="27"/>
      <c r="E63" s="27"/>
      <c r="F63" s="910">
        <v>400000</v>
      </c>
      <c r="G63" s="906"/>
      <c r="H63" s="907"/>
      <c r="I63" s="908"/>
      <c r="J63" s="908"/>
      <c r="K63" s="908"/>
      <c r="L63" s="908"/>
      <c r="M63" s="889"/>
    </row>
    <row r="64" spans="1:21" customHeight="1" ht="14.45" s="2" customFormat="1">
      <c r="B64" s="9" t="s">
        <v>235</v>
      </c>
      <c r="C64" s="9"/>
      <c r="D64" s="9"/>
      <c r="E64" s="9"/>
      <c r="F64" s="9"/>
      <c r="G64" s="906" t="s">
        <v>80</v>
      </c>
      <c r="H64" s="538">
        <f>632624.46+937377</f>
        <v>1570001.46</v>
      </c>
      <c r="I64" s="538">
        <f>190000+298900</f>
        <v>488900</v>
      </c>
      <c r="J64" s="538">
        <f>K64-I64</f>
        <v>1811100</v>
      </c>
      <c r="K64" s="538">
        <v>2300000</v>
      </c>
      <c r="L64" s="538">
        <f>SUM(F65:F66)</f>
        <v>2300000</v>
      </c>
      <c r="M64" s="889"/>
    </row>
    <row r="65" spans="1:21" customHeight="1" ht="14.45" s="2" customFormat="1">
      <c r="B65" s="27"/>
      <c r="C65" s="27" t="s">
        <v>65</v>
      </c>
      <c r="D65" s="27"/>
      <c r="E65" s="27"/>
      <c r="F65" s="909">
        <v>800000</v>
      </c>
      <c r="G65" s="906"/>
      <c r="H65" s="907"/>
      <c r="I65" s="908"/>
      <c r="J65" s="908"/>
      <c r="K65" s="908"/>
      <c r="L65" s="908"/>
      <c r="M65" s="889"/>
    </row>
    <row r="66" spans="1:21" customHeight="1" ht="14.45" s="2" customFormat="1">
      <c r="B66" s="27"/>
      <c r="C66" s="27" t="s">
        <v>412</v>
      </c>
      <c r="D66" s="27"/>
      <c r="E66" s="27"/>
      <c r="F66" s="910">
        <v>1500000</v>
      </c>
      <c r="G66" s="906"/>
      <c r="H66" s="907"/>
      <c r="I66" s="908"/>
      <c r="J66" s="908"/>
      <c r="K66" s="908"/>
      <c r="L66" s="908"/>
      <c r="M66" s="889"/>
    </row>
    <row r="67" spans="1:21" customHeight="1" ht="14.45" s="2" customFormat="1">
      <c r="A67" s="9" t="s">
        <v>417</v>
      </c>
      <c r="B67" s="9" t="s">
        <v>81</v>
      </c>
      <c r="C67" s="9"/>
      <c r="D67" s="9"/>
      <c r="E67" s="9"/>
      <c r="F67" s="9"/>
      <c r="G67" s="886" t="s">
        <v>82</v>
      </c>
      <c r="H67" s="538">
        <f>78357+231106.6</f>
        <v>309463.6</v>
      </c>
      <c r="I67" s="538">
        <v>79680</v>
      </c>
      <c r="J67" s="538">
        <f>K67-I67</f>
        <v>520320</v>
      </c>
      <c r="K67" s="538">
        <v>600000</v>
      </c>
      <c r="L67" s="538">
        <f>SUM(F68:F69)</f>
        <v>600000</v>
      </c>
      <c r="M67" s="889"/>
    </row>
    <row r="68" spans="1:21" customHeight="1" ht="14.45" s="2" customFormat="1">
      <c r="B68" s="27"/>
      <c r="C68" s="27" t="s">
        <v>65</v>
      </c>
      <c r="D68" s="27"/>
      <c r="E68" s="27"/>
      <c r="F68" s="909">
        <v>200000</v>
      </c>
      <c r="G68" s="906"/>
      <c r="H68" s="907"/>
      <c r="I68" s="908"/>
      <c r="J68" s="908"/>
      <c r="K68" s="908"/>
      <c r="L68" s="908"/>
      <c r="M68" s="889"/>
    </row>
    <row r="69" spans="1:21" customHeight="1" ht="14.45" s="2" customFormat="1">
      <c r="B69" s="27"/>
      <c r="C69" s="27" t="s">
        <v>412</v>
      </c>
      <c r="D69" s="27"/>
      <c r="E69" s="27"/>
      <c r="F69" s="910">
        <v>400000</v>
      </c>
      <c r="G69" s="906"/>
      <c r="H69" s="907"/>
      <c r="I69" s="908"/>
      <c r="J69" s="908"/>
      <c r="K69" s="908"/>
      <c r="L69" s="908"/>
      <c r="M69" s="889"/>
    </row>
    <row r="70" spans="1:21" customHeight="1" ht="14.45" s="2" customFormat="1">
      <c r="A70" s="9"/>
      <c r="B70" s="9" t="s">
        <v>418</v>
      </c>
      <c r="C70" s="9"/>
      <c r="D70" s="9"/>
      <c r="E70" s="9"/>
      <c r="F70" s="9"/>
      <c r="G70" s="238" t="s">
        <v>96</v>
      </c>
      <c r="H70" s="537">
        <v>51841.83</v>
      </c>
      <c r="I70" s="537">
        <v>18585.49</v>
      </c>
      <c r="J70" s="538">
        <f>K70-I70</f>
        <v>281414.51</v>
      </c>
      <c r="K70" s="537">
        <v>300000</v>
      </c>
      <c r="L70" s="533">
        <v>300000</v>
      </c>
      <c r="M70" s="889"/>
    </row>
    <row r="71" spans="1:21" customHeight="1" ht="14.45" s="2" customFormat="1">
      <c r="A71" s="26"/>
      <c r="B71" s="26" t="s">
        <v>419</v>
      </c>
      <c r="C71" s="26"/>
      <c r="D71" s="26"/>
      <c r="E71" s="9"/>
      <c r="F71" s="9"/>
      <c r="G71" s="238"/>
      <c r="H71" s="537"/>
      <c r="I71" s="537"/>
      <c r="J71" s="537"/>
      <c r="K71" s="537"/>
      <c r="L71" s="533"/>
      <c r="M71" s="889"/>
    </row>
    <row r="72" spans="1:21" customHeight="1" ht="14.45" s="2" customFormat="1">
      <c r="A72" s="26"/>
      <c r="B72" s="9" t="s">
        <v>420</v>
      </c>
      <c r="C72" s="26"/>
      <c r="D72" s="26"/>
      <c r="E72" s="9"/>
      <c r="F72" s="9"/>
      <c r="G72" s="238" t="s">
        <v>98</v>
      </c>
      <c r="H72" s="537">
        <f>236000+31164.25</f>
        <v>267164.25</v>
      </c>
      <c r="I72" s="537">
        <f>90707.56+13185.78</f>
        <v>103893.34</v>
      </c>
      <c r="J72" s="538">
        <f>K72-I72</f>
        <v>396106.66</v>
      </c>
      <c r="K72" s="537">
        <v>500000</v>
      </c>
      <c r="L72" s="533">
        <f>SUM(F73:F75)</f>
        <v>500000</v>
      </c>
      <c r="M72" s="889"/>
    </row>
    <row r="73" spans="1:21" customHeight="1" ht="14.45" s="2" customFormat="1">
      <c r="B73" s="27"/>
      <c r="C73" s="27" t="s">
        <v>421</v>
      </c>
      <c r="D73" s="27"/>
      <c r="E73" s="27"/>
      <c r="F73" s="909">
        <v>300000</v>
      </c>
      <c r="G73" s="906"/>
      <c r="H73" s="907"/>
      <c r="I73" s="908"/>
      <c r="J73" s="908"/>
      <c r="K73" s="908"/>
      <c r="L73" s="908"/>
      <c r="M73" s="889"/>
    </row>
    <row r="74" spans="1:21" customHeight="1" ht="14.45" s="2" customFormat="1">
      <c r="B74" s="27"/>
      <c r="C74" s="29" t="s">
        <v>422</v>
      </c>
      <c r="D74" s="27"/>
      <c r="E74" s="27"/>
      <c r="F74" s="909"/>
      <c r="G74" s="906"/>
      <c r="H74" s="907"/>
      <c r="I74" s="908"/>
      <c r="J74" s="908"/>
      <c r="K74" s="908"/>
      <c r="L74" s="908"/>
      <c r="M74" s="889"/>
    </row>
    <row r="75" spans="1:21" customHeight="1" ht="14.45" s="2" customFormat="1">
      <c r="B75" s="27"/>
      <c r="C75" s="27" t="s">
        <v>412</v>
      </c>
      <c r="D75" s="27"/>
      <c r="E75" s="27"/>
      <c r="F75" s="910">
        <v>200000</v>
      </c>
      <c r="G75" s="906"/>
      <c r="H75" s="911">
        <v>0</v>
      </c>
      <c r="I75" s="912">
        <v>0</v>
      </c>
      <c r="J75" s="912">
        <v>0</v>
      </c>
      <c r="K75" s="912">
        <v>0</v>
      </c>
      <c r="L75" s="912">
        <v>0</v>
      </c>
      <c r="M75" s="889"/>
    </row>
    <row r="76" spans="1:21" customHeight="1" ht="14.45" s="19" customFormat="1">
      <c r="A76" s="263" t="s">
        <v>75</v>
      </c>
      <c r="B76" s="263"/>
      <c r="C76" s="913"/>
      <c r="D76" s="913"/>
      <c r="E76" s="263"/>
      <c r="F76" s="263"/>
      <c r="G76" s="914"/>
      <c r="H76" s="895">
        <f>SUM(H55:H75)</f>
        <v>9408238.79</v>
      </c>
      <c r="I76" s="895">
        <f>SUM(I55:I75)</f>
        <v>11551111.18</v>
      </c>
      <c r="J76" s="895">
        <f>SUM(J55:J75)</f>
        <v>8548888.82</v>
      </c>
      <c r="K76" s="895">
        <f>SUM(K55:K75)</f>
        <v>20100000</v>
      </c>
      <c r="L76" s="895">
        <f>SUM(L55:L75)</f>
        <v>11850000</v>
      </c>
      <c r="M76" s="915"/>
    </row>
    <row r="77" spans="1:21" customHeight="1" ht="15" s="922" customFormat="1">
      <c r="A77" s="734" t="s">
        <v>411</v>
      </c>
      <c r="B77" s="734"/>
      <c r="C77" s="916"/>
      <c r="D77" s="916"/>
      <c r="E77" s="917"/>
      <c r="F77" s="917"/>
      <c r="G77" s="918"/>
      <c r="H77" s="919"/>
      <c r="I77" s="919"/>
      <c r="J77" s="919"/>
      <c r="K77" s="919"/>
      <c r="L77" s="920"/>
      <c r="M77" s="921"/>
    </row>
    <row r="78" spans="1:21" customHeight="1" ht="15" s="2" customFormat="1">
      <c r="A78" s="9"/>
      <c r="B78" s="9" t="s">
        <v>423</v>
      </c>
      <c r="C78" s="9"/>
      <c r="D78" s="9"/>
      <c r="E78" s="9"/>
      <c r="F78" s="9"/>
      <c r="G78" s="238" t="s">
        <v>424</v>
      </c>
      <c r="H78" s="537">
        <v>4461.25</v>
      </c>
      <c r="I78" s="537">
        <v>0</v>
      </c>
      <c r="J78" s="537">
        <f>K78-I78</f>
        <v>50000</v>
      </c>
      <c r="K78" s="537">
        <v>50000</v>
      </c>
      <c r="L78" s="533">
        <v>50000</v>
      </c>
      <c r="M78" s="889"/>
    </row>
    <row r="79" spans="1:21" customHeight="1" ht="15" s="2" customFormat="1">
      <c r="A79" s="9"/>
      <c r="B79" s="9" t="s">
        <v>425</v>
      </c>
      <c r="C79" s="9"/>
      <c r="D79" s="9"/>
      <c r="E79" s="9"/>
      <c r="F79" s="605"/>
      <c r="G79" s="238" t="s">
        <v>100</v>
      </c>
      <c r="H79" s="537">
        <v>46080</v>
      </c>
      <c r="I79" s="537">
        <v>32000</v>
      </c>
      <c r="J79" s="537">
        <f>K79-I79</f>
        <v>48000</v>
      </c>
      <c r="K79" s="537">
        <v>80000</v>
      </c>
      <c r="L79" s="533">
        <v>80000</v>
      </c>
      <c r="M79" s="889"/>
    </row>
    <row r="80" spans="1:21" customHeight="1" ht="15" s="2" customFormat="1">
      <c r="B80" s="9" t="s">
        <v>426</v>
      </c>
      <c r="C80" s="9"/>
      <c r="D80" s="9"/>
      <c r="E80" s="9"/>
      <c r="F80" s="9"/>
      <c r="G80" s="238" t="s">
        <v>102</v>
      </c>
      <c r="H80" s="537">
        <f>239970+374321</f>
        <v>614291</v>
      </c>
      <c r="I80" s="537">
        <f>193960+166957</f>
        <v>360917</v>
      </c>
      <c r="J80" s="537">
        <f>K80-I80</f>
        <v>839083</v>
      </c>
      <c r="K80" s="537">
        <v>1200000</v>
      </c>
      <c r="L80" s="533">
        <f>SUM(F81:F82)</f>
        <v>1200000</v>
      </c>
      <c r="M80" s="889"/>
    </row>
    <row r="81" spans="1:21" customHeight="1" ht="15" s="2" customFormat="1">
      <c r="B81" s="27"/>
      <c r="C81" s="27" t="s">
        <v>65</v>
      </c>
      <c r="D81" s="27"/>
      <c r="E81" s="27"/>
      <c r="F81" s="909">
        <v>500000</v>
      </c>
      <c r="G81" s="906"/>
      <c r="H81" s="907"/>
      <c r="I81" s="908"/>
      <c r="J81" s="908"/>
      <c r="K81" s="908"/>
      <c r="L81" s="908"/>
      <c r="M81" s="889"/>
    </row>
    <row r="82" spans="1:21" customHeight="1" ht="15" s="2" customFormat="1">
      <c r="B82" s="27"/>
      <c r="C82" s="27" t="s">
        <v>412</v>
      </c>
      <c r="D82" s="27"/>
      <c r="E82" s="27"/>
      <c r="F82" s="910">
        <v>700000</v>
      </c>
      <c r="G82" s="906"/>
      <c r="H82" s="907"/>
      <c r="I82" s="908"/>
      <c r="J82" s="908"/>
      <c r="K82" s="908"/>
      <c r="L82" s="908"/>
      <c r="M82" s="889"/>
    </row>
    <row r="83" spans="1:21" customHeight="1" ht="15" s="2" customFormat="1">
      <c r="A83" s="9" t="s">
        <v>427</v>
      </c>
      <c r="B83" s="9" t="s">
        <v>428</v>
      </c>
      <c r="C83" s="9"/>
      <c r="D83" s="9"/>
      <c r="E83" s="9"/>
      <c r="F83" s="9"/>
      <c r="G83" s="213" t="s">
        <v>429</v>
      </c>
      <c r="H83" s="537">
        <v>40000</v>
      </c>
      <c r="I83" s="537">
        <v>12100</v>
      </c>
      <c r="J83" s="537">
        <f>K83-I83</f>
        <v>37900</v>
      </c>
      <c r="K83" s="923">
        <v>50000</v>
      </c>
      <c r="L83" s="924">
        <v>50000</v>
      </c>
      <c r="M83" s="889"/>
    </row>
    <row r="84" spans="1:21" customHeight="1" ht="15" s="2" customFormat="1">
      <c r="B84" s="9" t="s">
        <v>265</v>
      </c>
      <c r="C84" s="9"/>
      <c r="D84" s="9"/>
      <c r="E84" s="9"/>
      <c r="F84" s="9"/>
      <c r="G84" s="213" t="s">
        <v>123</v>
      </c>
      <c r="H84" s="537">
        <v>15324.36</v>
      </c>
      <c r="I84" s="537">
        <v>16674.36</v>
      </c>
      <c r="J84" s="537">
        <f>K84-I84</f>
        <v>43325.64</v>
      </c>
      <c r="K84" s="923">
        <v>60000</v>
      </c>
      <c r="L84" s="924">
        <v>60000</v>
      </c>
      <c r="M84" s="889"/>
    </row>
    <row r="85" spans="1:21" customHeight="1" ht="15" s="2" customFormat="1">
      <c r="B85" s="9" t="s">
        <v>430</v>
      </c>
      <c r="C85" s="9"/>
      <c r="D85" s="9"/>
      <c r="E85" s="9"/>
      <c r="F85" s="9"/>
      <c r="G85" s="238" t="s">
        <v>125</v>
      </c>
      <c r="H85" s="537">
        <v>0</v>
      </c>
      <c r="I85" s="537">
        <v>0</v>
      </c>
      <c r="J85" s="537">
        <f>K85-I85</f>
        <v>30000</v>
      </c>
      <c r="K85" s="923">
        <v>30000</v>
      </c>
      <c r="L85" s="924">
        <v>30000</v>
      </c>
      <c r="M85" s="889"/>
    </row>
    <row r="86" spans="1:21" customHeight="1" ht="15" s="2" customFormat="1">
      <c r="A86" s="9"/>
      <c r="B86" s="9" t="s">
        <v>241</v>
      </c>
      <c r="C86" s="9"/>
      <c r="D86" s="9"/>
      <c r="E86" s="9"/>
      <c r="F86" s="9"/>
      <c r="G86" s="238" t="s">
        <v>242</v>
      </c>
      <c r="H86" s="537">
        <v>79650</v>
      </c>
      <c r="I86" s="537">
        <v>0</v>
      </c>
      <c r="J86" s="537">
        <f>K86-I86</f>
        <v>100000</v>
      </c>
      <c r="K86" s="537">
        <v>100000</v>
      </c>
      <c r="L86" s="533">
        <v>100000</v>
      </c>
      <c r="M86" s="889"/>
    </row>
    <row r="87" spans="1:21" customHeight="1" ht="15" s="2" customFormat="1">
      <c r="B87" s="9" t="s">
        <v>203</v>
      </c>
      <c r="C87" s="9"/>
      <c r="D87" s="9"/>
      <c r="E87" s="9"/>
      <c r="F87" s="66"/>
      <c r="G87" s="238" t="s">
        <v>143</v>
      </c>
      <c r="H87" s="537">
        <f>1030297.5+1302975.62</f>
        <v>2333273.12</v>
      </c>
      <c r="I87" s="537">
        <f>447675.5+81812.06</f>
        <v>529487.56</v>
      </c>
      <c r="J87" s="537">
        <f>K87-I87</f>
        <v>2970512.44</v>
      </c>
      <c r="K87" s="923">
        <v>3500000</v>
      </c>
      <c r="L87" s="924">
        <f>SUM(F88:F89)</f>
        <v>2500000</v>
      </c>
      <c r="M87" s="889"/>
    </row>
    <row r="88" spans="1:21" customHeight="1" ht="15" s="2" customFormat="1">
      <c r="B88" s="27"/>
      <c r="C88" s="27" t="s">
        <v>65</v>
      </c>
      <c r="D88" s="27"/>
      <c r="E88" s="27"/>
      <c r="F88" s="909">
        <v>1500000</v>
      </c>
      <c r="G88" s="906"/>
      <c r="H88" s="907"/>
      <c r="I88" s="908"/>
      <c r="J88" s="908"/>
      <c r="K88" s="908"/>
      <c r="L88" s="908"/>
      <c r="M88" s="889"/>
    </row>
    <row r="89" spans="1:21" customHeight="1" ht="15" s="2" customFormat="1">
      <c r="B89" s="27"/>
      <c r="C89" s="27" t="s">
        <v>412</v>
      </c>
      <c r="D89" s="27"/>
      <c r="E89" s="27"/>
      <c r="F89" s="910">
        <v>1000000</v>
      </c>
      <c r="G89" s="906"/>
      <c r="H89" s="907"/>
      <c r="I89" s="908"/>
      <c r="J89" s="908"/>
      <c r="K89" s="908"/>
      <c r="L89" s="908"/>
      <c r="M89" s="889"/>
    </row>
    <row r="90" spans="1:21" customHeight="1" ht="15" s="2" customFormat="1">
      <c r="B90" s="671" t="s">
        <v>150</v>
      </c>
      <c r="C90" s="671"/>
      <c r="D90" s="9"/>
      <c r="E90" s="9"/>
      <c r="F90" s="9"/>
      <c r="G90" s="238" t="s">
        <v>107</v>
      </c>
      <c r="H90" s="537">
        <f>13986654.52+3459550</f>
        <v>17446204.52</v>
      </c>
      <c r="I90" s="537">
        <f>5098790.9+1258600+120000</f>
        <v>6477390.9</v>
      </c>
      <c r="J90" s="537">
        <f>K90-I90</f>
        <v>6802609.1</v>
      </c>
      <c r="K90" s="923">
        <v>13280000</v>
      </c>
      <c r="L90" s="924">
        <f>SUM(F91:F93)</f>
        <v>12480000</v>
      </c>
      <c r="M90" s="889"/>
      <c r="N90" s="925"/>
    </row>
    <row r="91" spans="1:21" customHeight="1" ht="15" s="2" customFormat="1">
      <c r="B91" s="27"/>
      <c r="C91" s="27" t="s">
        <v>431</v>
      </c>
      <c r="D91" s="27"/>
      <c r="E91" s="27"/>
      <c r="F91" s="909">
        <v>9000000</v>
      </c>
      <c r="G91" s="906"/>
      <c r="H91" s="907"/>
      <c r="I91" s="908"/>
      <c r="J91" s="908"/>
      <c r="K91" s="908"/>
      <c r="L91" s="908"/>
      <c r="M91" s="889"/>
    </row>
    <row r="92" spans="1:21" customHeight="1" ht="15" s="2" customFormat="1">
      <c r="B92" s="27"/>
      <c r="C92" s="27" t="s">
        <v>412</v>
      </c>
      <c r="D92" s="27"/>
      <c r="E92" s="27"/>
      <c r="F92" s="909">
        <v>3000000</v>
      </c>
      <c r="G92" s="906"/>
      <c r="H92" s="907"/>
      <c r="I92" s="908"/>
      <c r="J92" s="908"/>
      <c r="K92" s="908"/>
      <c r="L92" s="908"/>
      <c r="M92" s="889"/>
    </row>
    <row r="93" spans="1:21" customHeight="1" ht="15" s="2" customFormat="1">
      <c r="B93" s="57"/>
      <c r="C93" s="27" t="s">
        <v>432</v>
      </c>
      <c r="D93" s="9"/>
      <c r="E93" s="9"/>
      <c r="F93" s="926">
        <v>480000</v>
      </c>
      <c r="G93" s="238"/>
      <c r="H93" s="541">
        <v>0</v>
      </c>
      <c r="I93" s="541">
        <v>0</v>
      </c>
      <c r="J93" s="541">
        <v>0</v>
      </c>
      <c r="K93" s="541">
        <v>0</v>
      </c>
      <c r="L93" s="557">
        <v>0</v>
      </c>
      <c r="M93" s="889"/>
      <c r="N93" s="925"/>
    </row>
    <row r="94" spans="1:21" customHeight="1" ht="15" s="626" customFormat="1">
      <c r="A94" s="6" t="s">
        <v>75</v>
      </c>
      <c r="B94" s="6"/>
      <c r="C94" s="273"/>
      <c r="D94" s="273"/>
      <c r="E94" s="273"/>
      <c r="F94" s="927"/>
      <c r="G94" s="253"/>
      <c r="H94" s="627">
        <f>SUM(H78:H93)</f>
        <v>20579284.25</v>
      </c>
      <c r="I94" s="627">
        <f>SUM(I78:I93)</f>
        <v>7428569.82</v>
      </c>
      <c r="J94" s="627">
        <f>SUM(J78:J93)</f>
        <v>10921430.18</v>
      </c>
      <c r="K94" s="627">
        <f>SUM(K78:K93)</f>
        <v>18350000</v>
      </c>
      <c r="L94" s="627">
        <f>SUM(L78:L93)</f>
        <v>16550000</v>
      </c>
      <c r="M94" s="928"/>
    </row>
    <row r="95" spans="1:21" customHeight="1" ht="15" s="550" customFormat="1">
      <c r="A95" s="6" t="s">
        <v>160</v>
      </c>
      <c r="B95" s="6"/>
      <c r="C95" s="6"/>
      <c r="D95" s="6"/>
      <c r="E95" s="6"/>
      <c r="F95" s="6"/>
      <c r="G95" s="243"/>
      <c r="H95" s="627">
        <f>+H94+H76</f>
        <v>29987523.04</v>
      </c>
      <c r="I95" s="627">
        <f>+I94+I76</f>
        <v>18979681</v>
      </c>
      <c r="J95" s="627">
        <f>+J94+J76</f>
        <v>19470319</v>
      </c>
      <c r="K95" s="627">
        <f>+K94+K76</f>
        <v>38450000</v>
      </c>
      <c r="L95" s="713">
        <f>+L94+L76</f>
        <v>28400000</v>
      </c>
      <c r="M95" s="929"/>
      <c r="N95" s="625"/>
    </row>
    <row r="96" spans="1:21" customHeight="1" ht="15" s="550" customFormat="1">
      <c r="A96" s="6" t="s">
        <v>247</v>
      </c>
      <c r="B96" s="6"/>
      <c r="C96" s="6"/>
      <c r="D96" s="6"/>
      <c r="E96" s="6"/>
      <c r="F96" s="6"/>
      <c r="G96" s="243"/>
      <c r="H96" s="627">
        <f>+H95+H50</f>
        <v>77342311.71</v>
      </c>
      <c r="I96" s="627">
        <f>+I95+I50</f>
        <v>40075935.42</v>
      </c>
      <c r="J96" s="627">
        <f>+J95+J50</f>
        <v>50264197.78</v>
      </c>
      <c r="K96" s="627">
        <f>+K95+K50</f>
        <v>90340133.2</v>
      </c>
      <c r="L96" s="713">
        <f>+L95+L50</f>
        <v>81808433.19</v>
      </c>
      <c r="M96" s="929"/>
      <c r="N96" s="625"/>
    </row>
    <row r="97" spans="1:21" customHeight="1" ht="20.1" s="550" customFormat="1">
      <c r="A97" s="543"/>
      <c r="B97" s="543"/>
      <c r="C97" s="543"/>
      <c r="D97" s="543"/>
      <c r="E97" s="543"/>
      <c r="F97" s="543"/>
      <c r="G97" s="545"/>
      <c r="H97" s="546"/>
      <c r="I97" s="546"/>
      <c r="J97" s="546"/>
      <c r="K97" s="546"/>
      <c r="L97" s="624"/>
      <c r="M97" s="929"/>
      <c r="N97" s="625"/>
    </row>
    <row r="98" spans="1:21" customHeight="1" ht="20.1" s="550" customFormat="1">
      <c r="A98" s="6"/>
      <c r="B98" s="6"/>
      <c r="C98" s="6"/>
      <c r="D98" s="6"/>
      <c r="E98" s="6"/>
      <c r="F98" s="6"/>
      <c r="G98" s="243"/>
      <c r="H98" s="627"/>
      <c r="I98" s="627"/>
      <c r="J98" s="627"/>
      <c r="K98" s="627"/>
      <c r="L98" s="629"/>
      <c r="M98" s="929"/>
      <c r="N98" s="625"/>
    </row>
    <row r="99" spans="1:21" customHeight="1" ht="20.1" s="550" customFormat="1">
      <c r="A99" s="58" t="s">
        <v>162</v>
      </c>
      <c r="B99" s="6"/>
      <c r="C99" s="6"/>
      <c r="D99" s="6"/>
      <c r="E99" s="6"/>
      <c r="F99" s="6"/>
      <c r="G99" s="243"/>
      <c r="H99" s="627"/>
      <c r="I99" s="627"/>
      <c r="J99" s="627"/>
      <c r="K99" s="627"/>
      <c r="L99" s="629"/>
      <c r="M99" s="929"/>
      <c r="N99" s="625"/>
    </row>
    <row r="100" spans="1:21" customHeight="1" ht="20.1" s="550" customFormat="1">
      <c r="A100" s="58"/>
      <c r="B100" s="671" t="s">
        <v>163</v>
      </c>
      <c r="C100" s="6"/>
      <c r="D100" s="6"/>
      <c r="E100" s="6"/>
      <c r="F100" s="6"/>
      <c r="G100" s="213" t="s">
        <v>164</v>
      </c>
      <c r="H100" s="930">
        <f>52438+109880</f>
        <v>162318</v>
      </c>
      <c r="I100" s="930">
        <v>0</v>
      </c>
      <c r="J100" s="930">
        <f>K100-I100</f>
        <v>50000</v>
      </c>
      <c r="K100" s="931">
        <v>50000</v>
      </c>
      <c r="L100" s="932">
        <v>25000</v>
      </c>
      <c r="M100" s="929"/>
      <c r="N100" s="625"/>
    </row>
    <row r="101" spans="1:21" customHeight="1" ht="20.1" s="550" customFormat="1">
      <c r="A101" s="6"/>
      <c r="B101" s="5" t="s">
        <v>433</v>
      </c>
      <c r="C101" s="6"/>
      <c r="D101" s="6"/>
      <c r="E101" s="6"/>
      <c r="F101" s="6"/>
      <c r="G101" s="213" t="s">
        <v>167</v>
      </c>
      <c r="H101" s="616">
        <v>39999</v>
      </c>
      <c r="I101" s="616">
        <v>0</v>
      </c>
      <c r="J101" s="616">
        <f>K101-I101</f>
        <v>150000</v>
      </c>
      <c r="K101" s="616">
        <v>150000</v>
      </c>
      <c r="L101" s="933">
        <v>25000</v>
      </c>
      <c r="M101" s="934"/>
    </row>
    <row r="102" spans="1:21" customHeight="1" ht="20.1" s="550" customFormat="1">
      <c r="A102" s="6"/>
      <c r="B102" s="5" t="s">
        <v>434</v>
      </c>
      <c r="C102" s="6"/>
      <c r="D102" s="6"/>
      <c r="E102" s="6"/>
      <c r="F102" s="6"/>
      <c r="G102" s="213" t="s">
        <v>314</v>
      </c>
      <c r="H102" s="616">
        <v>0</v>
      </c>
      <c r="I102" s="616">
        <v>0</v>
      </c>
      <c r="J102" s="616">
        <f>K102-I102</f>
        <v>250000</v>
      </c>
      <c r="K102" s="616">
        <v>250000</v>
      </c>
      <c r="L102" s="650"/>
      <c r="M102" s="934"/>
    </row>
    <row r="103" spans="1:21" customHeight="1" ht="20.1" s="550" customFormat="1">
      <c r="A103" s="6"/>
      <c r="B103" s="5" t="s">
        <v>210</v>
      </c>
      <c r="C103" s="14"/>
      <c r="D103" s="14"/>
      <c r="E103" s="14"/>
      <c r="F103" s="9"/>
      <c r="G103" s="213" t="s">
        <v>171</v>
      </c>
      <c r="H103" s="541">
        <v>111419</v>
      </c>
      <c r="I103" s="541">
        <v>0</v>
      </c>
      <c r="J103" s="619">
        <f>K103-I103</f>
        <v>0</v>
      </c>
      <c r="K103" s="935">
        <v>0</v>
      </c>
      <c r="L103" s="936">
        <v>0</v>
      </c>
      <c r="M103" s="929"/>
      <c r="N103" s="625"/>
    </row>
    <row r="104" spans="1:21" customHeight="1" ht="20.1" s="550" customFormat="1">
      <c r="A104" s="6" t="s">
        <v>172</v>
      </c>
      <c r="B104" s="5"/>
      <c r="C104" s="14"/>
      <c r="D104" s="14"/>
      <c r="E104" s="14"/>
      <c r="F104" s="9"/>
      <c r="G104" s="213"/>
      <c r="H104" s="718">
        <f>SUM(H100:H103)</f>
        <v>313736</v>
      </c>
      <c r="I104" s="718">
        <f>SUM(I100:I103)</f>
        <v>0</v>
      </c>
      <c r="J104" s="718">
        <f>SUM(J100:J103)</f>
        <v>450000</v>
      </c>
      <c r="K104" s="718">
        <f>SUM(K100:K103)</f>
        <v>450000</v>
      </c>
      <c r="L104" s="937">
        <f>SUM(L100:L103)</f>
        <v>50000</v>
      </c>
      <c r="M104" s="929"/>
      <c r="N104" s="625"/>
    </row>
    <row r="105" spans="1:21" customHeight="1" ht="20.1" s="550" customFormat="1">
      <c r="A105" s="6"/>
      <c r="B105" s="6"/>
      <c r="C105" s="6"/>
      <c r="D105" s="6"/>
      <c r="E105" s="6"/>
      <c r="F105" s="6"/>
      <c r="G105" s="243"/>
      <c r="H105" s="627"/>
      <c r="I105" s="627"/>
      <c r="J105" s="627"/>
      <c r="K105" s="627"/>
      <c r="L105" s="629"/>
      <c r="M105" s="929"/>
      <c r="N105" s="625"/>
    </row>
    <row r="106" spans="1:21" customHeight="1" ht="20.1" s="550" customFormat="1">
      <c r="A106" s="6"/>
      <c r="B106" s="6"/>
      <c r="C106" s="6"/>
      <c r="D106" s="6"/>
      <c r="E106" s="6"/>
      <c r="F106" s="6"/>
      <c r="G106" s="243"/>
      <c r="H106" s="627"/>
      <c r="I106" s="627"/>
      <c r="J106" s="627"/>
      <c r="K106" s="627"/>
      <c r="L106" s="629"/>
      <c r="M106" s="929"/>
      <c r="N106" s="625"/>
    </row>
    <row r="107" spans="1:21" customHeight="1" ht="20.1" s="550" customFormat="1">
      <c r="A107" s="6" t="s">
        <v>252</v>
      </c>
      <c r="B107" s="6"/>
      <c r="C107" s="6"/>
      <c r="D107" s="6"/>
      <c r="E107" s="6"/>
      <c r="F107" s="6"/>
      <c r="G107" s="243"/>
      <c r="H107" s="656">
        <f>+H104+H96</f>
        <v>77656047.71</v>
      </c>
      <c r="I107" s="656">
        <f>+I104+I96</f>
        <v>40075935.42</v>
      </c>
      <c r="J107" s="656">
        <f>+J104+J96</f>
        <v>50714197.78</v>
      </c>
      <c r="K107" s="656">
        <f>+K104+K96</f>
        <v>90790133.2</v>
      </c>
      <c r="L107" s="658">
        <f>+L104+L96</f>
        <v>81858433.19</v>
      </c>
      <c r="M107" s="929"/>
      <c r="N107" s="938"/>
    </row>
    <row r="108" spans="1:21" customHeight="1" ht="20.1" s="550" customFormat="1">
      <c r="A108" s="6"/>
      <c r="B108" s="6"/>
      <c r="C108" s="6"/>
      <c r="D108" s="6"/>
      <c r="E108" s="6"/>
      <c r="F108" s="6"/>
      <c r="G108" s="243"/>
      <c r="H108" s="656"/>
      <c r="I108" s="656"/>
      <c r="J108" s="656"/>
      <c r="K108" s="656"/>
      <c r="L108" s="688"/>
      <c r="M108" s="929"/>
      <c r="N108" s="938"/>
    </row>
    <row r="109" spans="1:21" customHeight="1" ht="20.1" s="550" customFormat="1">
      <c r="A109" s="6"/>
      <c r="B109" s="6"/>
      <c r="C109" s="6"/>
      <c r="D109" s="6"/>
      <c r="E109" s="6"/>
      <c r="F109" s="6"/>
      <c r="G109" s="243"/>
      <c r="H109" s="656"/>
      <c r="I109" s="656"/>
      <c r="J109" s="656"/>
      <c r="K109" s="656"/>
      <c r="L109" s="688"/>
      <c r="M109" s="929"/>
    </row>
    <row r="110" spans="1:21" customHeight="1" ht="20.1" s="11" customFormat="1">
      <c r="A110" s="73"/>
      <c r="B110" s="73"/>
      <c r="C110" s="73"/>
      <c r="D110" s="73"/>
      <c r="E110" s="73"/>
      <c r="F110" s="73"/>
      <c r="G110" s="720"/>
      <c r="H110" s="720"/>
      <c r="I110" s="720"/>
      <c r="J110" s="720"/>
      <c r="K110" s="262"/>
      <c r="L110" s="939"/>
      <c r="M110" s="529"/>
    </row>
    <row r="111" spans="1:21" customHeight="1" ht="15.95" s="529" customFormat="1">
      <c r="A111" s="9"/>
      <c r="B111" s="9"/>
      <c r="C111" s="9"/>
      <c r="D111" s="9"/>
      <c r="E111" s="9"/>
      <c r="F111" s="9"/>
      <c r="G111" s="320"/>
      <c r="H111" s="591"/>
      <c r="I111" s="591"/>
      <c r="J111" s="591"/>
      <c r="K111" s="591"/>
      <c r="L111" s="940"/>
      <c r="N111" s="529"/>
    </row>
    <row r="112" spans="1:21" customHeight="1" ht="15.95" s="529" customFormat="1">
      <c r="A112" s="9"/>
      <c r="B112" s="9"/>
      <c r="C112" s="9"/>
      <c r="D112" s="9"/>
      <c r="E112" s="9"/>
      <c r="F112" s="9"/>
      <c r="G112" s="320"/>
      <c r="H112" s="591"/>
      <c r="I112" s="591"/>
      <c r="J112" s="591"/>
      <c r="K112" s="591"/>
      <c r="L112" s="941"/>
      <c r="N112" s="529"/>
    </row>
    <row r="113" spans="1:21" customHeight="1" ht="15.95" s="529" customFormat="1">
      <c r="A113" s="9"/>
      <c r="B113" s="9"/>
      <c r="C113" s="9"/>
      <c r="D113" s="9"/>
      <c r="E113" s="9"/>
      <c r="F113" s="9"/>
      <c r="G113" s="320"/>
      <c r="H113" s="591"/>
      <c r="I113" s="591"/>
      <c r="J113" s="591"/>
      <c r="K113" s="591"/>
      <c r="L113" s="941"/>
      <c r="N113" s="529"/>
    </row>
    <row r="114" spans="1:21" customHeight="1" ht="18" s="694" customFormat="1">
      <c r="A114" s="1489"/>
      <c r="B114" s="1489"/>
      <c r="C114" s="1489"/>
      <c r="D114" s="1489"/>
      <c r="E114" s="317"/>
      <c r="G114" s="1498"/>
      <c r="H114" s="1498"/>
      <c r="I114" s="695"/>
      <c r="J114" s="695"/>
      <c r="K114" s="1498"/>
      <c r="L114" s="1498"/>
      <c r="M114" s="942"/>
      <c r="N114" s="942"/>
      <c r="O114" s="942"/>
      <c r="P114" s="943"/>
      <c r="Q114" s="943"/>
      <c r="R114" s="943"/>
      <c r="S114" s="943"/>
      <c r="T114" s="943"/>
      <c r="U114" s="943"/>
    </row>
    <row r="115" spans="1:21" customHeight="1" ht="20.1">
      <c r="A115" s="944" t="s">
        <v>435</v>
      </c>
      <c r="B115" s="7"/>
      <c r="C115" s="7"/>
      <c r="D115" s="7"/>
      <c r="E115" s="7"/>
      <c r="G115" s="945"/>
      <c r="H115" s="946"/>
      <c r="I115" s="946"/>
      <c r="J115" s="946"/>
      <c r="K115" s="947"/>
      <c r="L115" s="598"/>
      <c r="M115" s="599"/>
      <c r="N115" s="599"/>
      <c r="O115" s="599"/>
      <c r="P115" s="553"/>
      <c r="Q115" s="553"/>
      <c r="R115" s="553"/>
      <c r="S115" s="553"/>
      <c r="T115" s="553"/>
    </row>
    <row r="116" spans="1:21" customHeight="1" ht="15" s="9" customFormat="1">
      <c r="A116" s="948" t="s">
        <v>436</v>
      </c>
      <c r="B116" s="15"/>
      <c r="C116" s="15"/>
      <c r="D116" s="15"/>
      <c r="E116" s="15"/>
      <c r="F116" s="15"/>
      <c r="G116" s="213"/>
      <c r="H116" s="213"/>
      <c r="I116" s="213"/>
      <c r="J116" s="213"/>
      <c r="K116" s="949"/>
      <c r="L116" s="650"/>
      <c r="M116" s="529"/>
      <c r="N116" s="529"/>
      <c r="O116" s="529"/>
      <c r="P116" s="529"/>
      <c r="Q116" s="529"/>
      <c r="R116" s="529"/>
      <c r="S116" s="529"/>
      <c r="T116" s="529"/>
      <c r="U116" s="529"/>
    </row>
    <row r="117" spans="1:21" customHeight="1" ht="15" s="9" customFormat="1">
      <c r="A117" s="950" t="s">
        <v>213</v>
      </c>
      <c r="B117" s="15"/>
      <c r="C117" s="15"/>
      <c r="D117" s="15"/>
      <c r="E117" s="15"/>
      <c r="F117" s="15"/>
      <c r="G117" s="213"/>
      <c r="H117" s="213"/>
      <c r="I117" s="213"/>
      <c r="J117" s="213"/>
      <c r="K117" s="949"/>
      <c r="L117" s="650"/>
      <c r="M117" s="529"/>
      <c r="N117" s="529"/>
      <c r="O117" s="529"/>
      <c r="P117" s="529"/>
      <c r="Q117" s="529"/>
      <c r="R117" s="529"/>
      <c r="S117" s="529"/>
      <c r="T117" s="529"/>
      <c r="U117" s="529"/>
    </row>
    <row r="118" spans="1:21" customHeight="1" ht="15" s="9" customFormat="1">
      <c r="B118" s="9" t="s">
        <v>142</v>
      </c>
      <c r="C118" s="27"/>
      <c r="D118" s="27"/>
      <c r="E118" s="27"/>
      <c r="F118" s="951"/>
      <c r="G118" s="238" t="s">
        <v>143</v>
      </c>
      <c r="H118" s="238"/>
      <c r="I118" s="238"/>
      <c r="J118" s="238"/>
      <c r="K118" s="949"/>
      <c r="L118" s="755"/>
      <c r="M118" s="529"/>
      <c r="N118" s="529"/>
      <c r="O118" s="529"/>
      <c r="P118" s="529"/>
      <c r="Q118" s="529"/>
      <c r="R118" s="529"/>
      <c r="S118" s="529"/>
      <c r="T118" s="529"/>
      <c r="U118" s="529"/>
    </row>
    <row r="119" spans="1:21" customHeight="1" ht="15" s="9" customFormat="1">
      <c r="C119" s="37" t="s">
        <v>437</v>
      </c>
      <c r="D119" s="27"/>
      <c r="E119" s="27"/>
      <c r="F119" s="951"/>
      <c r="G119" s="238"/>
      <c r="H119" s="949">
        <v>0</v>
      </c>
      <c r="I119" s="952">
        <v>157102</v>
      </c>
      <c r="J119" s="952">
        <f>K119-I119</f>
        <v>1842898</v>
      </c>
      <c r="K119" s="953">
        <v>2000000</v>
      </c>
      <c r="L119" s="953">
        <v>2000000</v>
      </c>
      <c r="M119" s="529"/>
      <c r="N119" s="529"/>
      <c r="O119" s="529"/>
      <c r="P119" s="529"/>
      <c r="Q119" s="529"/>
      <c r="R119" s="529"/>
      <c r="S119" s="529"/>
      <c r="T119" s="529"/>
      <c r="U119" s="529"/>
    </row>
    <row r="120" spans="1:21" customHeight="1" ht="15" s="9" customFormat="1">
      <c r="C120" s="29" t="s">
        <v>438</v>
      </c>
      <c r="D120" s="27"/>
      <c r="E120" s="27"/>
      <c r="F120" s="951"/>
      <c r="G120" s="238"/>
      <c r="H120" s="949"/>
      <c r="I120" s="952"/>
      <c r="J120" s="952"/>
      <c r="K120" s="952"/>
      <c r="L120" s="952"/>
      <c r="M120" s="529"/>
      <c r="N120" s="529"/>
      <c r="O120" s="529"/>
      <c r="P120" s="529"/>
      <c r="Q120" s="529"/>
      <c r="R120" s="529"/>
      <c r="S120" s="529"/>
      <c r="T120" s="529"/>
      <c r="U120" s="529"/>
    </row>
    <row r="121" spans="1:21" customHeight="1" ht="15" s="9" customFormat="1">
      <c r="C121" s="37" t="s">
        <v>439</v>
      </c>
      <c r="D121" s="27"/>
      <c r="E121" s="27"/>
      <c r="F121" s="951"/>
      <c r="G121" s="238"/>
      <c r="H121" s="949">
        <v>0</v>
      </c>
      <c r="I121" s="952">
        <v>599955</v>
      </c>
      <c r="J121" s="952">
        <f>K121-I121</f>
        <v>1200045</v>
      </c>
      <c r="K121" s="953">
        <v>1800000</v>
      </c>
      <c r="L121" s="953">
        <v>1800000</v>
      </c>
      <c r="M121" s="529"/>
      <c r="N121" s="529"/>
      <c r="O121" s="529"/>
      <c r="P121" s="529"/>
      <c r="Q121" s="529"/>
      <c r="R121" s="529"/>
      <c r="S121" s="529"/>
      <c r="T121" s="529"/>
      <c r="U121" s="529"/>
    </row>
    <row r="122" spans="1:21" customHeight="1" ht="15" s="9" customFormat="1">
      <c r="C122" s="29" t="s">
        <v>440</v>
      </c>
      <c r="D122" s="27"/>
      <c r="E122" s="27"/>
      <c r="F122" s="951"/>
      <c r="G122" s="238"/>
      <c r="H122" s="949"/>
      <c r="I122" s="952"/>
      <c r="J122" s="952"/>
      <c r="K122" s="952"/>
      <c r="L122" s="952"/>
      <c r="M122" s="529"/>
      <c r="N122" s="529"/>
      <c r="O122" s="529"/>
      <c r="P122" s="529"/>
      <c r="Q122" s="529"/>
      <c r="R122" s="529"/>
      <c r="S122" s="529"/>
      <c r="T122" s="529"/>
      <c r="U122" s="529"/>
    </row>
    <row r="123" spans="1:21" customHeight="1" ht="15" s="9" customFormat="1">
      <c r="C123" s="29" t="s">
        <v>441</v>
      </c>
      <c r="D123" s="27"/>
      <c r="E123" s="27"/>
      <c r="F123" s="951"/>
      <c r="G123" s="238"/>
      <c r="H123" s="949"/>
      <c r="I123" s="952"/>
      <c r="J123" s="952"/>
      <c r="K123" s="952"/>
      <c r="L123" s="952"/>
      <c r="M123" s="529"/>
      <c r="N123" s="529"/>
      <c r="O123" s="529"/>
      <c r="P123" s="529"/>
      <c r="Q123" s="529"/>
      <c r="R123" s="529"/>
      <c r="S123" s="529"/>
      <c r="T123" s="529"/>
      <c r="U123" s="529"/>
    </row>
    <row r="124" spans="1:21" customHeight="1" ht="15" s="9" customFormat="1">
      <c r="C124" s="37" t="s">
        <v>442</v>
      </c>
      <c r="D124" s="27"/>
      <c r="E124" s="27"/>
      <c r="F124" s="951"/>
      <c r="G124" s="238"/>
      <c r="H124" s="949">
        <v>0</v>
      </c>
      <c r="I124" s="952">
        <v>79980</v>
      </c>
      <c r="J124" s="952">
        <f>K124-I124</f>
        <v>20020</v>
      </c>
      <c r="K124" s="953">
        <v>100000</v>
      </c>
      <c r="L124" s="953">
        <v>100000</v>
      </c>
      <c r="M124" s="529"/>
      <c r="N124" s="529"/>
      <c r="O124" s="529"/>
      <c r="P124" s="529"/>
      <c r="Q124" s="529"/>
      <c r="R124" s="529"/>
      <c r="S124" s="529"/>
      <c r="T124" s="529"/>
      <c r="U124" s="529"/>
    </row>
    <row r="125" spans="1:21" customHeight="1" ht="15" s="9" customFormat="1">
      <c r="C125" s="29" t="s">
        <v>443</v>
      </c>
      <c r="D125" s="27"/>
      <c r="E125" s="27"/>
      <c r="F125" s="951"/>
      <c r="G125" s="238"/>
      <c r="H125" s="949"/>
      <c r="I125" s="952"/>
      <c r="J125" s="952"/>
      <c r="K125" s="952"/>
      <c r="L125" s="952"/>
      <c r="M125" s="529"/>
      <c r="N125" s="529"/>
      <c r="O125" s="529"/>
      <c r="P125" s="529"/>
      <c r="Q125" s="529"/>
      <c r="R125" s="529"/>
      <c r="S125" s="529"/>
      <c r="T125" s="529"/>
      <c r="U125" s="529"/>
    </row>
    <row r="126" spans="1:21" customHeight="1" ht="15" s="9" customFormat="1">
      <c r="C126" s="29" t="s">
        <v>444</v>
      </c>
      <c r="D126" s="27"/>
      <c r="E126" s="27"/>
      <c r="F126" s="951"/>
      <c r="G126" s="238"/>
      <c r="H126" s="949"/>
      <c r="I126" s="952"/>
      <c r="J126" s="952"/>
      <c r="K126" s="952"/>
      <c r="L126" s="952"/>
      <c r="M126" s="529"/>
      <c r="N126" s="529"/>
      <c r="O126" s="529"/>
      <c r="P126" s="529"/>
      <c r="Q126" s="529"/>
      <c r="R126" s="529"/>
      <c r="S126" s="529"/>
      <c r="T126" s="529"/>
      <c r="U126" s="529"/>
    </row>
    <row r="127" spans="1:21" customHeight="1" ht="15" s="9" customFormat="1">
      <c r="C127" s="37" t="s">
        <v>445</v>
      </c>
      <c r="D127" s="27"/>
      <c r="E127" s="27"/>
      <c r="F127" s="951"/>
      <c r="G127" s="238"/>
      <c r="H127" s="949">
        <v>0</v>
      </c>
      <c r="I127" s="952">
        <v>77781.7</v>
      </c>
      <c r="J127" s="952">
        <f>K127-I127</f>
        <v>22218.3</v>
      </c>
      <c r="K127" s="953">
        <v>100000</v>
      </c>
      <c r="L127" s="953">
        <v>100000</v>
      </c>
      <c r="M127" s="529"/>
      <c r="N127" s="529"/>
      <c r="O127" s="529"/>
      <c r="P127" s="529"/>
      <c r="Q127" s="529"/>
      <c r="R127" s="529"/>
      <c r="S127" s="529"/>
      <c r="T127" s="529"/>
      <c r="U127" s="529"/>
    </row>
    <row r="128" spans="1:21" customHeight="1" ht="15" s="9" customFormat="1">
      <c r="C128" s="29" t="s">
        <v>446</v>
      </c>
      <c r="D128" s="27"/>
      <c r="E128" s="27"/>
      <c r="F128" s="951"/>
      <c r="G128" s="238"/>
      <c r="H128" s="949"/>
      <c r="I128" s="952"/>
      <c r="J128" s="952"/>
      <c r="K128" s="952"/>
      <c r="L128" s="952"/>
      <c r="M128" s="529"/>
      <c r="N128" s="529"/>
      <c r="O128" s="529"/>
      <c r="P128" s="529"/>
      <c r="Q128" s="529"/>
      <c r="R128" s="529"/>
      <c r="S128" s="529"/>
      <c r="T128" s="529"/>
      <c r="U128" s="529"/>
    </row>
    <row r="129" spans="1:21" customHeight="1" ht="15" s="9" customFormat="1">
      <c r="C129" s="37" t="s">
        <v>447</v>
      </c>
      <c r="D129" s="27"/>
      <c r="E129" s="27"/>
      <c r="F129" s="951"/>
      <c r="G129" s="238"/>
      <c r="H129" s="949">
        <v>0</v>
      </c>
      <c r="I129" s="952">
        <v>300000</v>
      </c>
      <c r="J129" s="952">
        <f>K129-I129</f>
        <v>200000</v>
      </c>
      <c r="K129" s="953">
        <v>500000</v>
      </c>
      <c r="L129" s="953">
        <v>500000</v>
      </c>
      <c r="M129" s="529"/>
      <c r="N129" s="529"/>
      <c r="O129" s="529"/>
      <c r="P129" s="529"/>
      <c r="Q129" s="529"/>
      <c r="R129" s="529"/>
      <c r="S129" s="529"/>
      <c r="T129" s="529"/>
      <c r="U129" s="529"/>
    </row>
    <row r="130" spans="1:21" customHeight="1" ht="15" s="9" customFormat="1">
      <c r="C130" s="29" t="s">
        <v>448</v>
      </c>
      <c r="D130" s="27"/>
      <c r="E130" s="27"/>
      <c r="F130" s="951"/>
      <c r="G130" s="238"/>
      <c r="H130" s="949"/>
      <c r="I130" s="952"/>
      <c r="J130" s="952"/>
      <c r="K130" s="952"/>
      <c r="L130" s="952"/>
      <c r="M130" s="529"/>
      <c r="N130" s="529"/>
      <c r="O130" s="529"/>
      <c r="P130" s="529"/>
      <c r="Q130" s="529"/>
      <c r="R130" s="529"/>
      <c r="S130" s="529"/>
      <c r="T130" s="529"/>
      <c r="U130" s="529"/>
    </row>
    <row r="131" spans="1:21" customHeight="1" ht="15" s="9" customFormat="1">
      <c r="C131" s="37" t="s">
        <v>449</v>
      </c>
      <c r="D131" s="27"/>
      <c r="E131" s="27"/>
      <c r="F131" s="951"/>
      <c r="G131" s="238"/>
      <c r="H131" s="949">
        <v>0</v>
      </c>
      <c r="I131" s="952">
        <v>920000</v>
      </c>
      <c r="J131" s="952">
        <f>K131-I131</f>
        <v>980000</v>
      </c>
      <c r="K131" s="953">
        <v>1900000</v>
      </c>
      <c r="L131" s="953">
        <v>1900000</v>
      </c>
      <c r="M131" s="529"/>
      <c r="N131" s="529"/>
      <c r="O131" s="529"/>
      <c r="P131" s="529"/>
      <c r="Q131" s="529"/>
      <c r="R131" s="529"/>
      <c r="S131" s="529"/>
      <c r="T131" s="529"/>
      <c r="U131" s="529"/>
    </row>
    <row r="132" spans="1:21" customHeight="1" ht="15" s="9" customFormat="1">
      <c r="C132" s="29" t="s">
        <v>450</v>
      </c>
      <c r="D132" s="27"/>
      <c r="E132" s="27"/>
      <c r="F132" s="951"/>
      <c r="G132" s="238"/>
      <c r="H132" s="949"/>
      <c r="I132" s="952"/>
      <c r="J132" s="952"/>
      <c r="K132" s="952"/>
      <c r="L132" s="952"/>
      <c r="M132" s="529"/>
      <c r="N132" s="529"/>
      <c r="O132" s="529"/>
      <c r="P132" s="529"/>
      <c r="Q132" s="529"/>
      <c r="R132" s="529"/>
      <c r="S132" s="529"/>
      <c r="T132" s="529"/>
      <c r="U132" s="529"/>
    </row>
    <row r="133" spans="1:21" customHeight="1" ht="15" s="9" customFormat="1">
      <c r="C133" s="37" t="s">
        <v>451</v>
      </c>
      <c r="D133" s="27"/>
      <c r="E133" s="27"/>
      <c r="F133" s="951"/>
      <c r="G133" s="238"/>
      <c r="H133" s="949">
        <v>0</v>
      </c>
      <c r="I133" s="952">
        <v>600000</v>
      </c>
      <c r="J133" s="952">
        <f>K133-I133</f>
        <v>1400000</v>
      </c>
      <c r="K133" s="953">
        <v>2000000</v>
      </c>
      <c r="L133" s="953">
        <v>2000000</v>
      </c>
      <c r="M133" s="529"/>
      <c r="N133" s="529"/>
      <c r="O133" s="529"/>
      <c r="P133" s="529"/>
      <c r="Q133" s="529"/>
      <c r="R133" s="529"/>
      <c r="S133" s="529"/>
      <c r="T133" s="529"/>
      <c r="U133" s="529"/>
    </row>
    <row r="134" spans="1:21" customHeight="1" ht="15" s="9" customFormat="1">
      <c r="C134" s="29" t="s">
        <v>452</v>
      </c>
      <c r="D134" s="27"/>
      <c r="E134" s="27"/>
      <c r="F134" s="951"/>
      <c r="G134" s="238"/>
      <c r="H134" s="954">
        <v>0</v>
      </c>
      <c r="I134" s="954">
        <v>0</v>
      </c>
      <c r="J134" s="954">
        <v>0</v>
      </c>
      <c r="K134" s="954">
        <v>0</v>
      </c>
      <c r="L134" s="955">
        <v>0</v>
      </c>
      <c r="M134" s="529"/>
      <c r="N134" s="529"/>
      <c r="O134" s="529"/>
      <c r="P134" s="529"/>
      <c r="Q134" s="529"/>
      <c r="R134" s="529"/>
      <c r="S134" s="529"/>
      <c r="T134" s="529"/>
      <c r="U134" s="529"/>
    </row>
    <row r="135" spans="1:21" customHeight="1" ht="15" s="18" customFormat="1">
      <c r="A135" s="956" t="s">
        <v>453</v>
      </c>
      <c r="B135" s="957"/>
      <c r="C135" s="957"/>
      <c r="D135" s="957"/>
      <c r="E135" s="957"/>
      <c r="F135" s="957"/>
      <c r="G135" s="219"/>
      <c r="H135" s="958">
        <f>SUM(H119:H134)</f>
        <v>0</v>
      </c>
      <c r="I135" s="958">
        <f>SUM(I119:I134)</f>
        <v>2734818.7</v>
      </c>
      <c r="J135" s="958">
        <f>SUM(J119:J134)</f>
        <v>5665181.3</v>
      </c>
      <c r="K135" s="958">
        <f>SUM(K119:K134)</f>
        <v>8400000</v>
      </c>
      <c r="L135" s="959">
        <f>SUM(L119:L134)</f>
        <v>8400000</v>
      </c>
      <c r="M135" s="960"/>
      <c r="N135" s="960"/>
      <c r="O135" s="960"/>
      <c r="P135" s="960"/>
      <c r="Q135" s="960"/>
      <c r="R135" s="960"/>
      <c r="S135" s="960"/>
      <c r="T135" s="960"/>
      <c r="U135" s="960"/>
    </row>
    <row r="136" spans="1:21" customHeight="1" ht="12" s="9" customFormat="1">
      <c r="A136" s="73"/>
      <c r="B136" s="73"/>
      <c r="C136" s="961"/>
      <c r="D136" s="961"/>
      <c r="E136" s="961"/>
      <c r="F136" s="962"/>
      <c r="G136" s="572"/>
      <c r="H136" s="963"/>
      <c r="I136" s="963"/>
      <c r="J136" s="963"/>
      <c r="K136" s="963"/>
      <c r="L136" s="964"/>
      <c r="M136" s="529"/>
      <c r="N136" s="529"/>
      <c r="O136" s="529"/>
      <c r="P136" s="529"/>
      <c r="Q136" s="529"/>
      <c r="R136" s="529"/>
      <c r="S136" s="529"/>
      <c r="T136" s="529"/>
      <c r="U136" s="529"/>
    </row>
    <row r="137" spans="1:21" customHeight="1" ht="15" s="9" customFormat="1">
      <c r="A137" s="948" t="s">
        <v>454</v>
      </c>
      <c r="B137" s="15"/>
      <c r="C137" s="15"/>
      <c r="D137" s="15"/>
      <c r="E137" s="15"/>
      <c r="F137" s="15"/>
      <c r="G137" s="213"/>
      <c r="H137" s="949"/>
      <c r="I137" s="949"/>
      <c r="J137" s="949"/>
      <c r="K137" s="949"/>
      <c r="L137" s="952"/>
      <c r="M137" s="529"/>
      <c r="N137" s="529"/>
      <c r="O137" s="529"/>
      <c r="P137" s="529"/>
      <c r="Q137" s="529"/>
      <c r="R137" s="529"/>
      <c r="S137" s="529"/>
      <c r="T137" s="529"/>
      <c r="U137" s="529"/>
    </row>
    <row r="138" spans="1:21" customHeight="1" ht="15" s="9" customFormat="1">
      <c r="A138" s="950" t="s">
        <v>213</v>
      </c>
      <c r="B138" s="15"/>
      <c r="C138" s="15"/>
      <c r="D138" s="15"/>
      <c r="E138" s="15"/>
      <c r="F138" s="15"/>
      <c r="G138" s="213"/>
      <c r="H138" s="949"/>
      <c r="I138" s="949"/>
      <c r="J138" s="949"/>
      <c r="K138" s="949"/>
      <c r="L138" s="952"/>
      <c r="M138" s="529"/>
      <c r="N138" s="529"/>
      <c r="O138" s="529"/>
      <c r="P138" s="529"/>
      <c r="Q138" s="529"/>
      <c r="R138" s="529"/>
      <c r="S138" s="529"/>
      <c r="T138" s="529"/>
      <c r="U138" s="529"/>
    </row>
    <row r="139" spans="1:21" customHeight="1" ht="15" s="9" customFormat="1">
      <c r="B139" s="9" t="s">
        <v>142</v>
      </c>
      <c r="C139" s="27"/>
      <c r="D139" s="27"/>
      <c r="E139" s="27"/>
      <c r="F139" s="951"/>
      <c r="G139" s="238" t="s">
        <v>143</v>
      </c>
      <c r="H139" s="949"/>
      <c r="I139" s="949"/>
      <c r="J139" s="949"/>
      <c r="K139" s="949"/>
      <c r="L139" s="952"/>
      <c r="M139" s="529"/>
      <c r="N139" s="529"/>
      <c r="O139" s="529"/>
      <c r="P139" s="529"/>
      <c r="Q139" s="529"/>
      <c r="R139" s="529"/>
      <c r="S139" s="529"/>
      <c r="T139" s="529"/>
      <c r="U139" s="529"/>
    </row>
    <row r="140" spans="1:21" customHeight="1" ht="15" s="9" customFormat="1">
      <c r="C140" s="37" t="s">
        <v>455</v>
      </c>
      <c r="D140" s="27"/>
      <c r="E140" s="27"/>
      <c r="F140" s="951"/>
      <c r="G140" s="238"/>
      <c r="H140" s="949"/>
      <c r="I140" s="952"/>
      <c r="J140" s="952"/>
      <c r="K140" s="953"/>
      <c r="L140" s="953"/>
      <c r="M140" s="529"/>
      <c r="N140" s="529"/>
      <c r="O140" s="529"/>
      <c r="P140" s="529"/>
      <c r="Q140" s="529"/>
      <c r="R140" s="529"/>
      <c r="S140" s="529"/>
      <c r="T140" s="529"/>
      <c r="U140" s="529"/>
    </row>
    <row r="141" spans="1:21" customHeight="1" ht="15" s="9" customFormat="1">
      <c r="C141" s="29" t="s">
        <v>456</v>
      </c>
      <c r="D141" s="27"/>
      <c r="E141" s="27"/>
      <c r="F141" s="951"/>
      <c r="G141" s="238"/>
      <c r="H141" s="954">
        <v>0</v>
      </c>
      <c r="I141" s="955">
        <v>0</v>
      </c>
      <c r="J141" s="955">
        <f>K141-I141</f>
        <v>200000</v>
      </c>
      <c r="K141" s="965">
        <v>200000</v>
      </c>
      <c r="L141" s="965">
        <v>200000</v>
      </c>
      <c r="M141" s="529"/>
      <c r="N141" s="529"/>
      <c r="O141" s="529"/>
      <c r="P141" s="529"/>
      <c r="Q141" s="529"/>
      <c r="R141" s="529"/>
      <c r="S141" s="529"/>
      <c r="T141" s="529"/>
      <c r="U141" s="529"/>
    </row>
    <row r="142" spans="1:21" customHeight="1" ht="15" s="968" customFormat="1">
      <c r="A142" s="956" t="s">
        <v>457</v>
      </c>
      <c r="B142" s="957"/>
      <c r="C142" s="957"/>
      <c r="D142" s="957"/>
      <c r="E142" s="957"/>
      <c r="F142" s="957"/>
      <c r="G142" s="966"/>
      <c r="H142" s="958">
        <f>SUM(H139:H141)</f>
        <v>0</v>
      </c>
      <c r="I142" s="958">
        <f>SUM(I139:I141)</f>
        <v>0</v>
      </c>
      <c r="J142" s="958">
        <f>SUM(J139:J141)</f>
        <v>200000</v>
      </c>
      <c r="K142" s="958">
        <f>SUM(K139:K141)</f>
        <v>200000</v>
      </c>
      <c r="L142" s="959">
        <f>SUM(L139:L141)</f>
        <v>200000</v>
      </c>
      <c r="M142" s="967"/>
      <c r="N142" s="967"/>
      <c r="O142" s="967"/>
      <c r="P142" s="967"/>
      <c r="Q142" s="967"/>
      <c r="R142" s="967"/>
      <c r="S142" s="967"/>
      <c r="T142" s="967"/>
      <c r="U142" s="967"/>
    </row>
    <row r="143" spans="1:21" customHeight="1" ht="15" s="9" customFormat="1">
      <c r="C143" s="27"/>
      <c r="D143" s="27"/>
      <c r="E143" s="27"/>
      <c r="F143" s="951"/>
      <c r="G143" s="238"/>
      <c r="H143" s="949"/>
      <c r="I143" s="949"/>
      <c r="J143" s="949"/>
      <c r="K143" s="949"/>
      <c r="L143" s="952"/>
      <c r="M143" s="529"/>
      <c r="N143" s="529"/>
      <c r="O143" s="529"/>
      <c r="P143" s="529"/>
      <c r="Q143" s="529"/>
      <c r="R143" s="529"/>
      <c r="S143" s="529"/>
      <c r="T143" s="529"/>
      <c r="U143" s="529"/>
    </row>
    <row r="144" spans="1:21" customHeight="1" ht="15" s="9" customFormat="1">
      <c r="A144" s="948" t="s">
        <v>458</v>
      </c>
      <c r="B144" s="15"/>
      <c r="C144" s="15"/>
      <c r="D144" s="15"/>
      <c r="E144" s="15"/>
      <c r="F144" s="15"/>
      <c r="G144" s="213"/>
      <c r="H144" s="949"/>
      <c r="I144" s="949"/>
      <c r="J144" s="949"/>
      <c r="K144" s="949"/>
      <c r="L144" s="952"/>
      <c r="M144" s="529"/>
      <c r="N144" s="529"/>
      <c r="O144" s="529"/>
      <c r="P144" s="529"/>
      <c r="Q144" s="529"/>
      <c r="R144" s="529"/>
      <c r="S144" s="529"/>
      <c r="T144" s="529"/>
      <c r="U144" s="529"/>
    </row>
    <row r="145" spans="1:21" customHeight="1" ht="15" s="9" customFormat="1">
      <c r="A145" s="950" t="s">
        <v>213</v>
      </c>
      <c r="B145" s="15"/>
      <c r="C145" s="15"/>
      <c r="D145" s="15"/>
      <c r="E145" s="15"/>
      <c r="F145" s="15"/>
      <c r="G145" s="213"/>
      <c r="H145" s="949"/>
      <c r="I145" s="949"/>
      <c r="J145" s="949"/>
      <c r="K145" s="949"/>
      <c r="L145" s="952"/>
      <c r="M145" s="529"/>
      <c r="N145" s="529"/>
      <c r="O145" s="529"/>
      <c r="P145" s="529"/>
      <c r="Q145" s="529"/>
      <c r="R145" s="529"/>
      <c r="S145" s="529"/>
      <c r="T145" s="529"/>
      <c r="U145" s="529"/>
    </row>
    <row r="146" spans="1:21" customHeight="1" ht="15" s="9" customFormat="1">
      <c r="B146" s="9" t="s">
        <v>142</v>
      </c>
      <c r="C146" s="27"/>
      <c r="D146" s="27"/>
      <c r="E146" s="27"/>
      <c r="F146" s="951"/>
      <c r="G146" s="238" t="s">
        <v>143</v>
      </c>
      <c r="H146" s="949"/>
      <c r="I146" s="949"/>
      <c r="J146" s="949"/>
      <c r="K146" s="949"/>
      <c r="L146" s="952"/>
      <c r="M146" s="529"/>
      <c r="N146" s="529"/>
      <c r="O146" s="529"/>
      <c r="P146" s="529"/>
      <c r="Q146" s="529"/>
      <c r="R146" s="529"/>
      <c r="S146" s="529"/>
      <c r="T146" s="529"/>
      <c r="U146" s="529"/>
    </row>
    <row r="147" spans="1:21" customHeight="1" ht="15" s="9" customFormat="1">
      <c r="C147" s="37" t="s">
        <v>459</v>
      </c>
      <c r="D147" s="27"/>
      <c r="E147" s="27"/>
      <c r="F147" s="951"/>
      <c r="G147" s="238"/>
      <c r="H147" s="949"/>
      <c r="I147" s="952">
        <v>40000</v>
      </c>
      <c r="J147" s="952">
        <f>K147-I147</f>
        <v>160000</v>
      </c>
      <c r="K147" s="953">
        <v>200000</v>
      </c>
      <c r="L147" s="953">
        <v>200000</v>
      </c>
      <c r="M147" s="529"/>
      <c r="N147" s="529"/>
      <c r="O147" s="529"/>
      <c r="P147" s="529"/>
      <c r="Q147" s="529"/>
      <c r="R147" s="529"/>
      <c r="S147" s="529"/>
      <c r="T147" s="529"/>
      <c r="U147" s="529"/>
    </row>
    <row r="148" spans="1:21" customHeight="1" ht="15" s="9" customFormat="1">
      <c r="C148" s="29" t="s">
        <v>460</v>
      </c>
      <c r="D148" s="27"/>
      <c r="E148" s="27"/>
      <c r="F148" s="951"/>
      <c r="G148" s="238"/>
      <c r="H148" s="949"/>
      <c r="I148" s="949"/>
      <c r="J148" s="949"/>
      <c r="K148" s="949"/>
      <c r="L148" s="952"/>
      <c r="M148" s="529"/>
      <c r="N148" s="529"/>
      <c r="O148" s="529"/>
      <c r="P148" s="529"/>
      <c r="Q148" s="529"/>
      <c r="R148" s="529"/>
      <c r="S148" s="529"/>
      <c r="T148" s="529"/>
      <c r="U148" s="529"/>
    </row>
    <row r="149" spans="1:21" customHeight="1" ht="15" s="9" customFormat="1">
      <c r="C149" s="29" t="s">
        <v>461</v>
      </c>
      <c r="D149" s="27"/>
      <c r="E149" s="27"/>
      <c r="F149" s="951"/>
      <c r="G149" s="238"/>
      <c r="H149" s="949"/>
      <c r="I149" s="949"/>
      <c r="J149" s="949"/>
      <c r="K149" s="949"/>
      <c r="L149" s="952"/>
      <c r="M149" s="529"/>
      <c r="N149" s="529"/>
      <c r="O149" s="529"/>
      <c r="P149" s="529"/>
      <c r="Q149" s="529"/>
      <c r="R149" s="529"/>
      <c r="S149" s="529"/>
      <c r="T149" s="529"/>
      <c r="U149" s="529"/>
    </row>
    <row r="150" spans="1:21" customHeight="1" ht="15" s="9" customFormat="1">
      <c r="C150" s="29" t="s">
        <v>462</v>
      </c>
      <c r="D150" s="27"/>
      <c r="E150" s="27"/>
      <c r="F150" s="951"/>
      <c r="G150" s="238"/>
      <c r="H150" s="954">
        <v>0</v>
      </c>
      <c r="I150" s="954">
        <v>0</v>
      </c>
      <c r="J150" s="954">
        <v>0</v>
      </c>
      <c r="K150" s="954">
        <v>0</v>
      </c>
      <c r="L150" s="955">
        <v>0</v>
      </c>
      <c r="M150" s="529"/>
      <c r="N150" s="529"/>
      <c r="O150" s="529"/>
      <c r="P150" s="529"/>
      <c r="Q150" s="529"/>
      <c r="R150" s="529"/>
      <c r="S150" s="529"/>
      <c r="T150" s="529"/>
      <c r="U150" s="529"/>
    </row>
    <row r="151" spans="1:21" customHeight="1" ht="15" s="968" customFormat="1">
      <c r="A151" s="956" t="s">
        <v>463</v>
      </c>
      <c r="B151" s="957"/>
      <c r="C151" s="957"/>
      <c r="D151" s="957"/>
      <c r="E151" s="957"/>
      <c r="F151" s="957"/>
      <c r="G151" s="966"/>
      <c r="H151" s="958">
        <f>SUM(H146:H150)</f>
        <v>0</v>
      </c>
      <c r="I151" s="958">
        <f>SUM(I146:I150)</f>
        <v>40000</v>
      </c>
      <c r="J151" s="958">
        <f>SUM(J146:J150)</f>
        <v>160000</v>
      </c>
      <c r="K151" s="958">
        <f>SUM(K146:K150)</f>
        <v>200000</v>
      </c>
      <c r="L151" s="959">
        <f>SUM(L146:L150)</f>
        <v>200000</v>
      </c>
      <c r="M151" s="967"/>
      <c r="N151" s="967"/>
      <c r="O151" s="967"/>
      <c r="P151" s="967"/>
      <c r="Q151" s="967"/>
      <c r="R151" s="967"/>
      <c r="S151" s="967"/>
      <c r="T151" s="967"/>
      <c r="U151" s="967"/>
    </row>
    <row r="152" spans="1:21" customHeight="1" ht="15" s="9" customFormat="1">
      <c r="C152" s="27"/>
      <c r="D152" s="27"/>
      <c r="E152" s="27"/>
      <c r="F152" s="951"/>
      <c r="G152" s="238"/>
      <c r="H152" s="949"/>
      <c r="I152" s="949"/>
      <c r="J152" s="949"/>
      <c r="K152" s="949"/>
      <c r="L152" s="952"/>
      <c r="M152" s="529"/>
      <c r="N152" s="529"/>
      <c r="O152" s="529"/>
      <c r="P152" s="529"/>
      <c r="Q152" s="529"/>
      <c r="R152" s="529"/>
      <c r="S152" s="529"/>
      <c r="T152" s="529"/>
      <c r="U152" s="529"/>
    </row>
    <row r="153" spans="1:21" customHeight="1" ht="15" s="9" customFormat="1">
      <c r="A153" s="948" t="s">
        <v>464</v>
      </c>
      <c r="B153" s="15"/>
      <c r="C153" s="15"/>
      <c r="D153" s="15"/>
      <c r="E153" s="15"/>
      <c r="F153" s="15"/>
      <c r="G153" s="213"/>
      <c r="H153" s="949"/>
      <c r="I153" s="949"/>
      <c r="J153" s="949"/>
      <c r="K153" s="949"/>
      <c r="L153" s="952"/>
      <c r="M153" s="529"/>
      <c r="N153" s="529"/>
      <c r="O153" s="529"/>
      <c r="P153" s="529"/>
      <c r="Q153" s="529"/>
      <c r="R153" s="529"/>
      <c r="S153" s="529"/>
      <c r="T153" s="529"/>
      <c r="U153" s="529"/>
    </row>
    <row r="154" spans="1:21" customHeight="1" ht="15" s="9" customFormat="1">
      <c r="A154" s="950" t="s">
        <v>213</v>
      </c>
      <c r="B154" s="15"/>
      <c r="C154" s="15"/>
      <c r="D154" s="15"/>
      <c r="E154" s="15"/>
      <c r="F154" s="15"/>
      <c r="G154" s="213"/>
      <c r="H154" s="949"/>
      <c r="I154" s="949"/>
      <c r="J154" s="949"/>
      <c r="K154" s="949"/>
      <c r="L154" s="952"/>
      <c r="M154" s="529"/>
      <c r="N154" s="529"/>
      <c r="O154" s="529"/>
      <c r="P154" s="529"/>
      <c r="Q154" s="529"/>
      <c r="R154" s="529"/>
      <c r="S154" s="529"/>
      <c r="T154" s="529"/>
      <c r="U154" s="529"/>
    </row>
    <row r="155" spans="1:21" customHeight="1" ht="15" s="9" customFormat="1">
      <c r="B155" s="9" t="s">
        <v>142</v>
      </c>
      <c r="C155" s="27"/>
      <c r="D155" s="27"/>
      <c r="E155" s="27"/>
      <c r="F155" s="951"/>
      <c r="G155" s="238" t="s">
        <v>143</v>
      </c>
      <c r="H155" s="949"/>
      <c r="I155" s="949"/>
      <c r="J155" s="949"/>
      <c r="K155" s="949"/>
      <c r="L155" s="952"/>
      <c r="M155" s="529"/>
      <c r="N155" s="529"/>
      <c r="O155" s="529"/>
      <c r="P155" s="529"/>
      <c r="Q155" s="529"/>
      <c r="R155" s="529"/>
      <c r="S155" s="529"/>
      <c r="T155" s="529"/>
      <c r="U155" s="529"/>
    </row>
    <row r="156" spans="1:21" customHeight="1" ht="15" s="9" customFormat="1">
      <c r="C156" s="37" t="s">
        <v>465</v>
      </c>
      <c r="D156" s="27"/>
      <c r="E156" s="27"/>
      <c r="F156" s="951"/>
      <c r="G156" s="238"/>
      <c r="H156" s="949"/>
      <c r="I156" s="952">
        <v>108847</v>
      </c>
      <c r="J156" s="952">
        <f>K156-I156</f>
        <v>291153</v>
      </c>
      <c r="K156" s="953">
        <v>400000</v>
      </c>
      <c r="L156" s="953">
        <v>400000</v>
      </c>
      <c r="M156" s="529"/>
      <c r="N156" s="529"/>
      <c r="O156" s="529"/>
      <c r="P156" s="529"/>
      <c r="Q156" s="529"/>
      <c r="R156" s="529"/>
      <c r="S156" s="529"/>
      <c r="T156" s="529"/>
      <c r="U156" s="529"/>
    </row>
    <row r="157" spans="1:21" customHeight="1" ht="15" s="9" customFormat="1">
      <c r="C157" s="29" t="s">
        <v>466</v>
      </c>
      <c r="D157" s="27"/>
      <c r="E157" s="27"/>
      <c r="F157" s="951"/>
      <c r="G157" s="238"/>
      <c r="H157" s="954">
        <v>0</v>
      </c>
      <c r="I157" s="954">
        <v>0</v>
      </c>
      <c r="J157" s="954">
        <v>0</v>
      </c>
      <c r="K157" s="954">
        <v>0</v>
      </c>
      <c r="L157" s="955">
        <v>0</v>
      </c>
      <c r="M157" s="529"/>
      <c r="N157" s="529"/>
      <c r="O157" s="529"/>
      <c r="P157" s="529"/>
      <c r="Q157" s="529"/>
      <c r="R157" s="529"/>
      <c r="S157" s="529"/>
      <c r="T157" s="529"/>
      <c r="U157" s="529"/>
    </row>
    <row r="158" spans="1:21" customHeight="1" ht="15" s="968" customFormat="1">
      <c r="A158" s="913" t="s">
        <v>467</v>
      </c>
      <c r="B158" s="969"/>
      <c r="C158" s="969"/>
      <c r="D158" s="969"/>
      <c r="E158" s="969"/>
      <c r="F158" s="969"/>
      <c r="G158" s="970"/>
      <c r="H158" s="971">
        <f>SUM(H155:H157)</f>
        <v>0</v>
      </c>
      <c r="I158" s="971">
        <f>SUM(I155:I157)</f>
        <v>108847</v>
      </c>
      <c r="J158" s="971">
        <f>SUM(J155:J157)</f>
        <v>291153</v>
      </c>
      <c r="K158" s="971">
        <f>SUM(K155:K157)</f>
        <v>400000</v>
      </c>
      <c r="L158" s="972">
        <f>SUM(L155:L157)</f>
        <v>400000</v>
      </c>
      <c r="M158" s="967"/>
      <c r="N158" s="967"/>
      <c r="O158" s="967"/>
      <c r="P158" s="967"/>
      <c r="Q158" s="967"/>
      <c r="R158" s="967"/>
      <c r="S158" s="967"/>
      <c r="T158" s="967"/>
      <c r="U158" s="967"/>
    </row>
    <row r="159" spans="1:21" customHeight="1" ht="15" s="9" customFormat="1">
      <c r="C159" s="27"/>
      <c r="D159" s="27"/>
      <c r="E159" s="27"/>
      <c r="F159" s="951"/>
      <c r="G159" s="238"/>
      <c r="H159" s="949"/>
      <c r="I159" s="949"/>
      <c r="J159" s="949"/>
      <c r="K159" s="949"/>
      <c r="L159" s="952"/>
      <c r="M159" s="529"/>
      <c r="N159" s="529"/>
      <c r="O159" s="529"/>
      <c r="P159" s="529"/>
      <c r="Q159" s="529"/>
      <c r="R159" s="529"/>
      <c r="S159" s="529"/>
      <c r="T159" s="529"/>
      <c r="U159" s="529"/>
    </row>
    <row r="160" spans="1:21" customHeight="1" ht="15" s="9" customFormat="1">
      <c r="A160" s="948" t="s">
        <v>468</v>
      </c>
      <c r="B160" s="15"/>
      <c r="C160" s="15"/>
      <c r="D160" s="15"/>
      <c r="E160" s="15"/>
      <c r="F160" s="15"/>
      <c r="G160" s="213"/>
      <c r="H160" s="949"/>
      <c r="I160" s="949"/>
      <c r="J160" s="949"/>
      <c r="K160" s="949"/>
      <c r="L160" s="952"/>
      <c r="M160" s="529"/>
      <c r="N160" s="529"/>
      <c r="O160" s="529"/>
      <c r="P160" s="529"/>
      <c r="Q160" s="529"/>
      <c r="R160" s="529"/>
      <c r="S160" s="529"/>
      <c r="T160" s="529"/>
      <c r="U160" s="529"/>
    </row>
    <row r="161" spans="1:21" customHeight="1" ht="15" s="9" customFormat="1">
      <c r="A161" s="950" t="s">
        <v>213</v>
      </c>
      <c r="B161" s="15"/>
      <c r="C161" s="15"/>
      <c r="D161" s="15"/>
      <c r="E161" s="15"/>
      <c r="F161" s="15"/>
      <c r="G161" s="213"/>
      <c r="H161" s="949"/>
      <c r="I161" s="949"/>
      <c r="J161" s="949"/>
      <c r="K161" s="949"/>
      <c r="L161" s="952"/>
      <c r="M161" s="529"/>
      <c r="N161" s="529"/>
      <c r="O161" s="529"/>
      <c r="P161" s="529"/>
      <c r="Q161" s="529"/>
      <c r="R161" s="529"/>
      <c r="S161" s="529"/>
      <c r="T161" s="529"/>
      <c r="U161" s="529"/>
    </row>
    <row r="162" spans="1:21" customHeight="1" ht="15" s="9" customFormat="1">
      <c r="B162" s="9" t="s">
        <v>142</v>
      </c>
      <c r="C162" s="27"/>
      <c r="D162" s="27"/>
      <c r="E162" s="27"/>
      <c r="F162" s="951"/>
      <c r="G162" s="238" t="s">
        <v>143</v>
      </c>
      <c r="H162" s="949"/>
      <c r="I162" s="949"/>
      <c r="J162" s="949"/>
      <c r="K162" s="949"/>
      <c r="L162" s="952"/>
      <c r="M162" s="529"/>
      <c r="N162" s="529"/>
      <c r="O162" s="529"/>
      <c r="P162" s="529"/>
      <c r="Q162" s="529"/>
      <c r="R162" s="529"/>
      <c r="S162" s="529"/>
      <c r="T162" s="529"/>
      <c r="U162" s="529"/>
    </row>
    <row r="163" spans="1:21" customHeight="1" ht="15" s="9" customFormat="1">
      <c r="C163" s="37" t="s">
        <v>469</v>
      </c>
      <c r="D163" s="27"/>
      <c r="E163" s="27"/>
      <c r="F163" s="951"/>
      <c r="G163" s="238"/>
      <c r="H163" s="949">
        <v>0</v>
      </c>
      <c r="I163" s="952">
        <v>0</v>
      </c>
      <c r="J163" s="952">
        <f>K163-I163</f>
        <v>150000</v>
      </c>
      <c r="K163" s="953">
        <v>150000</v>
      </c>
      <c r="L163" s="953">
        <v>150000</v>
      </c>
      <c r="M163" s="529"/>
      <c r="N163" s="529"/>
      <c r="O163" s="529"/>
      <c r="P163" s="529"/>
      <c r="Q163" s="529"/>
      <c r="R163" s="529"/>
      <c r="S163" s="529"/>
      <c r="T163" s="529"/>
      <c r="U163" s="529"/>
    </row>
    <row r="164" spans="1:21" customHeight="1" ht="15" s="9" customFormat="1">
      <c r="C164" s="29" t="s">
        <v>470</v>
      </c>
      <c r="D164" s="27"/>
      <c r="E164" s="27"/>
      <c r="F164" s="951"/>
      <c r="G164" s="238"/>
      <c r="H164" s="954">
        <v>0</v>
      </c>
      <c r="I164" s="954">
        <v>0</v>
      </c>
      <c r="J164" s="954">
        <v>0</v>
      </c>
      <c r="K164" s="954">
        <v>0</v>
      </c>
      <c r="L164" s="955">
        <v>0</v>
      </c>
      <c r="M164" s="529"/>
      <c r="N164" s="529"/>
      <c r="O164" s="529"/>
      <c r="P164" s="529"/>
      <c r="Q164" s="529"/>
      <c r="R164" s="529"/>
      <c r="S164" s="529"/>
      <c r="T164" s="529"/>
      <c r="U164" s="529"/>
    </row>
    <row r="165" spans="1:21" customHeight="1" ht="15" s="968" customFormat="1">
      <c r="A165" s="956" t="s">
        <v>471</v>
      </c>
      <c r="B165" s="957"/>
      <c r="C165" s="957"/>
      <c r="D165" s="957"/>
      <c r="E165" s="957"/>
      <c r="F165" s="957"/>
      <c r="G165" s="966"/>
      <c r="H165" s="958">
        <f>SUM(H161:H164)</f>
        <v>0</v>
      </c>
      <c r="I165" s="958">
        <f>SUM(I161:I164)</f>
        <v>0</v>
      </c>
      <c r="J165" s="958">
        <f>SUM(J161:J164)</f>
        <v>150000</v>
      </c>
      <c r="K165" s="958">
        <f>SUM(K161:K164)</f>
        <v>150000</v>
      </c>
      <c r="L165" s="959">
        <f>SUM(L161:L164)</f>
        <v>150000</v>
      </c>
      <c r="M165" s="967"/>
      <c r="N165" s="967"/>
      <c r="O165" s="967"/>
      <c r="P165" s="967"/>
      <c r="Q165" s="967"/>
      <c r="R165" s="967"/>
      <c r="S165" s="967"/>
      <c r="T165" s="967"/>
      <c r="U165" s="967"/>
    </row>
    <row r="166" spans="1:21" customHeight="1" ht="15" s="968" customFormat="1">
      <c r="A166" s="956"/>
      <c r="B166" s="957"/>
      <c r="C166" s="957"/>
      <c r="D166" s="957"/>
      <c r="E166" s="957"/>
      <c r="F166" s="957"/>
      <c r="G166" s="966"/>
      <c r="H166" s="958"/>
      <c r="I166" s="958"/>
      <c r="J166" s="958"/>
      <c r="K166" s="958"/>
      <c r="L166" s="959"/>
      <c r="M166" s="967"/>
      <c r="N166" s="967"/>
      <c r="O166" s="967"/>
      <c r="P166" s="967"/>
      <c r="Q166" s="967"/>
      <c r="R166" s="967"/>
      <c r="S166" s="967"/>
      <c r="T166" s="967"/>
      <c r="U166" s="967"/>
    </row>
    <row r="167" spans="1:21" customHeight="1" ht="14.1" s="9" customFormat="1">
      <c r="A167" s="948" t="s">
        <v>472</v>
      </c>
      <c r="B167" s="15"/>
      <c r="C167" s="15"/>
      <c r="D167" s="15"/>
      <c r="E167" s="15"/>
      <c r="F167" s="15"/>
      <c r="G167" s="213"/>
      <c r="H167" s="949"/>
      <c r="I167" s="949"/>
      <c r="J167" s="949"/>
      <c r="K167" s="949"/>
      <c r="L167" s="952"/>
      <c r="M167" s="529"/>
      <c r="N167" s="529"/>
      <c r="O167" s="529"/>
      <c r="P167" s="529"/>
      <c r="Q167" s="529"/>
      <c r="R167" s="529"/>
      <c r="S167" s="529"/>
      <c r="T167" s="529"/>
      <c r="U167" s="529"/>
    </row>
    <row r="168" spans="1:21" customHeight="1" ht="14.1" s="9" customFormat="1">
      <c r="A168" s="950" t="s">
        <v>213</v>
      </c>
      <c r="B168" s="15"/>
      <c r="C168" s="15"/>
      <c r="D168" s="15"/>
      <c r="E168" s="15"/>
      <c r="F168" s="15"/>
      <c r="G168" s="213"/>
      <c r="H168" s="949"/>
      <c r="I168" s="949"/>
      <c r="J168" s="949"/>
      <c r="K168" s="949"/>
      <c r="L168" s="952"/>
      <c r="M168" s="529"/>
      <c r="N168" s="529"/>
      <c r="O168" s="529"/>
      <c r="P168" s="529"/>
      <c r="Q168" s="529"/>
      <c r="R168" s="529"/>
      <c r="S168" s="529"/>
      <c r="T168" s="529"/>
      <c r="U168" s="529"/>
    </row>
    <row r="169" spans="1:21" customHeight="1" ht="14.1" s="9" customFormat="1">
      <c r="B169" s="9" t="s">
        <v>142</v>
      </c>
      <c r="C169" s="27"/>
      <c r="D169" s="27"/>
      <c r="E169" s="27"/>
      <c r="F169" s="951"/>
      <c r="G169" s="238" t="s">
        <v>143</v>
      </c>
      <c r="H169" s="949"/>
      <c r="I169" s="949"/>
      <c r="J169" s="952"/>
      <c r="K169" s="949"/>
      <c r="L169" s="952"/>
      <c r="M169" s="529"/>
      <c r="N169" s="529"/>
      <c r="O169" s="529"/>
      <c r="P169" s="529"/>
      <c r="Q169" s="529"/>
      <c r="R169" s="529"/>
      <c r="S169" s="529"/>
      <c r="T169" s="529"/>
      <c r="U169" s="529"/>
    </row>
    <row r="170" spans="1:21" customHeight="1" ht="14.1" s="9" customFormat="1">
      <c r="C170" s="37" t="s">
        <v>473</v>
      </c>
      <c r="D170" s="27"/>
      <c r="E170" s="27"/>
      <c r="F170" s="951"/>
      <c r="G170" s="238"/>
      <c r="H170" s="949">
        <v>0</v>
      </c>
      <c r="I170" s="952">
        <v>319530</v>
      </c>
      <c r="J170" s="952">
        <f>K170-I170</f>
        <v>480470</v>
      </c>
      <c r="K170" s="953">
        <v>800000</v>
      </c>
      <c r="L170" s="953">
        <v>600000</v>
      </c>
      <c r="M170" s="529"/>
      <c r="N170" s="529"/>
      <c r="O170" s="529"/>
      <c r="P170" s="529"/>
      <c r="Q170" s="529"/>
      <c r="R170" s="529"/>
      <c r="S170" s="529"/>
      <c r="T170" s="529"/>
      <c r="U170" s="529"/>
    </row>
    <row r="171" spans="1:21" customHeight="1" ht="14.1" s="9" customFormat="1">
      <c r="C171" s="29" t="s">
        <v>474</v>
      </c>
      <c r="D171" s="27"/>
      <c r="E171" s="27"/>
      <c r="F171" s="951"/>
      <c r="G171" s="238"/>
      <c r="H171" s="954">
        <v>0</v>
      </c>
      <c r="I171" s="954">
        <v>0</v>
      </c>
      <c r="J171" s="954">
        <v>0</v>
      </c>
      <c r="K171" s="954">
        <v>0</v>
      </c>
      <c r="L171" s="955">
        <v>0</v>
      </c>
      <c r="M171" s="529"/>
      <c r="N171" s="529"/>
      <c r="O171" s="529"/>
      <c r="P171" s="529"/>
      <c r="Q171" s="529"/>
      <c r="R171" s="529"/>
      <c r="S171" s="529"/>
      <c r="T171" s="529"/>
      <c r="U171" s="529"/>
    </row>
    <row r="172" spans="1:21" customHeight="1" ht="14.1" s="968" customFormat="1">
      <c r="A172" s="956" t="s">
        <v>475</v>
      </c>
      <c r="B172" s="957"/>
      <c r="C172" s="957"/>
      <c r="D172" s="957"/>
      <c r="E172" s="957"/>
      <c r="F172" s="957"/>
      <c r="G172" s="966"/>
      <c r="H172" s="958">
        <f>SUM(H169:H171)</f>
        <v>0</v>
      </c>
      <c r="I172" s="958">
        <f>SUM(I169:I171)</f>
        <v>319530</v>
      </c>
      <c r="J172" s="958">
        <f>SUM(J169:J171)</f>
        <v>480470</v>
      </c>
      <c r="K172" s="958">
        <f>SUM(K169:K171)</f>
        <v>800000</v>
      </c>
      <c r="L172" s="959">
        <f>SUM(L169:L171)</f>
        <v>600000</v>
      </c>
      <c r="M172" s="967"/>
      <c r="N172" s="967"/>
      <c r="O172" s="967"/>
      <c r="P172" s="967"/>
      <c r="Q172" s="967"/>
      <c r="R172" s="967"/>
      <c r="S172" s="967"/>
      <c r="T172" s="967"/>
      <c r="U172" s="967"/>
    </row>
    <row r="173" spans="1:21" customHeight="1" ht="14.1" s="9" customFormat="1">
      <c r="C173" s="29"/>
      <c r="D173" s="27"/>
      <c r="E173" s="27"/>
      <c r="F173" s="951"/>
      <c r="G173" s="238"/>
      <c r="H173" s="949"/>
      <c r="I173" s="949"/>
      <c r="J173" s="949"/>
      <c r="K173" s="949"/>
      <c r="L173" s="952"/>
      <c r="M173" s="529"/>
      <c r="N173" s="529"/>
      <c r="O173" s="529"/>
      <c r="P173" s="529"/>
      <c r="Q173" s="529"/>
      <c r="R173" s="529"/>
      <c r="S173" s="529"/>
      <c r="T173" s="529"/>
      <c r="U173" s="529"/>
    </row>
    <row r="174" spans="1:21" customHeight="1" ht="14.1" s="9" customFormat="1">
      <c r="A174" s="948" t="s">
        <v>476</v>
      </c>
      <c r="B174" s="15"/>
      <c r="C174" s="15"/>
      <c r="D174" s="15"/>
      <c r="E174" s="15"/>
      <c r="F174" s="15"/>
      <c r="G174" s="213"/>
      <c r="H174" s="949"/>
      <c r="I174" s="949"/>
      <c r="J174" s="949"/>
      <c r="K174" s="949"/>
      <c r="L174" s="952"/>
      <c r="M174" s="529"/>
      <c r="N174" s="529"/>
      <c r="O174" s="529"/>
      <c r="P174" s="529"/>
      <c r="Q174" s="529"/>
      <c r="R174" s="529"/>
      <c r="S174" s="529"/>
      <c r="T174" s="529"/>
      <c r="U174" s="529"/>
    </row>
    <row r="175" spans="1:21" customHeight="1" ht="14.1" s="9" customFormat="1">
      <c r="A175" s="950" t="s">
        <v>213</v>
      </c>
      <c r="B175" s="15"/>
      <c r="C175" s="15"/>
      <c r="D175" s="15"/>
      <c r="E175" s="15"/>
      <c r="F175" s="15"/>
      <c r="G175" s="213"/>
      <c r="H175" s="949"/>
      <c r="I175" s="949"/>
      <c r="J175" s="949"/>
      <c r="K175" s="949"/>
      <c r="L175" s="952"/>
      <c r="M175" s="529"/>
      <c r="N175" s="529"/>
      <c r="O175" s="529"/>
      <c r="P175" s="529"/>
      <c r="Q175" s="529"/>
      <c r="R175" s="529"/>
      <c r="S175" s="529"/>
      <c r="T175" s="529"/>
      <c r="U175" s="529"/>
    </row>
    <row r="176" spans="1:21" customHeight="1" ht="14.1" s="9" customFormat="1">
      <c r="B176" s="9" t="s">
        <v>142</v>
      </c>
      <c r="C176" s="27"/>
      <c r="D176" s="27"/>
      <c r="E176" s="27"/>
      <c r="F176" s="951"/>
      <c r="G176" s="238" t="s">
        <v>143</v>
      </c>
      <c r="H176" s="949"/>
      <c r="I176" s="949"/>
      <c r="J176" s="949"/>
      <c r="K176" s="949"/>
      <c r="L176" s="952"/>
      <c r="M176" s="529"/>
      <c r="N176" s="529"/>
      <c r="O176" s="529"/>
      <c r="P176" s="529"/>
      <c r="Q176" s="529"/>
      <c r="R176" s="529"/>
      <c r="S176" s="529"/>
      <c r="T176" s="529"/>
      <c r="U176" s="529"/>
    </row>
    <row r="177" spans="1:21" customHeight="1" ht="14.1" s="9" customFormat="1">
      <c r="C177" s="37" t="s">
        <v>477</v>
      </c>
      <c r="D177" s="27"/>
      <c r="E177" s="27"/>
      <c r="F177" s="951"/>
      <c r="G177" s="238"/>
      <c r="H177" s="949"/>
      <c r="I177" s="952">
        <v>198950</v>
      </c>
      <c r="J177" s="952">
        <f>K177-I177</f>
        <v>301050</v>
      </c>
      <c r="K177" s="953">
        <v>500000</v>
      </c>
      <c r="L177" s="953">
        <v>500000</v>
      </c>
      <c r="M177" s="529"/>
      <c r="N177" s="529"/>
      <c r="O177" s="529"/>
      <c r="P177" s="529"/>
      <c r="Q177" s="529"/>
      <c r="R177" s="529"/>
      <c r="S177" s="529"/>
      <c r="T177" s="529"/>
      <c r="U177" s="529"/>
    </row>
    <row r="178" spans="1:21" customHeight="1" ht="14.1" s="9" customFormat="1">
      <c r="C178" s="29" t="s">
        <v>478</v>
      </c>
      <c r="D178" s="27"/>
      <c r="E178" s="27"/>
      <c r="F178" s="951"/>
      <c r="G178" s="238"/>
      <c r="H178" s="949"/>
      <c r="I178" s="949"/>
      <c r="J178" s="949"/>
      <c r="K178" s="949"/>
      <c r="L178" s="952"/>
      <c r="M178" s="529"/>
      <c r="N178" s="529"/>
      <c r="O178" s="529"/>
      <c r="P178" s="529"/>
      <c r="Q178" s="529"/>
      <c r="R178" s="529"/>
      <c r="S178" s="529"/>
      <c r="T178" s="529"/>
      <c r="U178" s="529"/>
    </row>
    <row r="179" spans="1:21" customHeight="1" ht="14.1" s="9" customFormat="1">
      <c r="C179" s="29" t="s">
        <v>479</v>
      </c>
      <c r="D179" s="27"/>
      <c r="E179" s="27"/>
      <c r="F179" s="951"/>
      <c r="G179" s="238"/>
      <c r="H179" s="954">
        <v>0</v>
      </c>
      <c r="I179" s="954">
        <v>0</v>
      </c>
      <c r="J179" s="954">
        <v>0</v>
      </c>
      <c r="K179" s="954">
        <v>0</v>
      </c>
      <c r="L179" s="955">
        <v>0</v>
      </c>
      <c r="M179" s="529"/>
      <c r="N179" s="529"/>
      <c r="O179" s="529"/>
      <c r="P179" s="529"/>
      <c r="Q179" s="529"/>
      <c r="R179" s="529"/>
      <c r="S179" s="529"/>
      <c r="T179" s="529"/>
      <c r="U179" s="529"/>
    </row>
    <row r="180" spans="1:21" customHeight="1" ht="14.1" s="968" customFormat="1">
      <c r="A180" s="956" t="s">
        <v>480</v>
      </c>
      <c r="B180" s="957"/>
      <c r="C180" s="957"/>
      <c r="D180" s="957"/>
      <c r="E180" s="957"/>
      <c r="F180" s="957"/>
      <c r="G180" s="966"/>
      <c r="H180" s="958">
        <f>SUM(H176:H179)</f>
        <v>0</v>
      </c>
      <c r="I180" s="958">
        <f>SUM(I176:I179)</f>
        <v>198950</v>
      </c>
      <c r="J180" s="958">
        <f>SUM(J176:J179)</f>
        <v>301050</v>
      </c>
      <c r="K180" s="958">
        <f>SUM(K176:K179)</f>
        <v>500000</v>
      </c>
      <c r="L180" s="959">
        <f>SUM(L176:L179)</f>
        <v>500000</v>
      </c>
      <c r="M180" s="967"/>
      <c r="N180" s="967"/>
      <c r="O180" s="967"/>
      <c r="P180" s="967"/>
      <c r="Q180" s="967"/>
      <c r="R180" s="967"/>
      <c r="S180" s="967"/>
      <c r="T180" s="967"/>
      <c r="U180" s="967"/>
    </row>
    <row r="181" spans="1:21" customHeight="1" ht="14.1" s="9" customFormat="1">
      <c r="A181" s="73"/>
      <c r="B181" s="73"/>
      <c r="C181" s="961"/>
      <c r="D181" s="961"/>
      <c r="E181" s="961"/>
      <c r="F181" s="962"/>
      <c r="G181" s="572"/>
      <c r="H181" s="963"/>
      <c r="I181" s="963"/>
      <c r="J181" s="963"/>
      <c r="K181" s="963"/>
      <c r="L181" s="964"/>
      <c r="M181" s="529"/>
      <c r="N181" s="529"/>
      <c r="O181" s="529"/>
      <c r="P181" s="529"/>
      <c r="Q181" s="529"/>
      <c r="R181" s="529"/>
      <c r="S181" s="529"/>
      <c r="T181" s="529"/>
      <c r="U181" s="529"/>
    </row>
    <row r="182" spans="1:21" customHeight="1" ht="20.1" s="9" customFormat="1">
      <c r="A182" s="948" t="s">
        <v>481</v>
      </c>
      <c r="B182" s="15"/>
      <c r="C182" s="15"/>
      <c r="D182" s="15"/>
      <c r="E182" s="15"/>
      <c r="F182" s="15"/>
      <c r="G182" s="213"/>
      <c r="H182" s="949"/>
      <c r="I182" s="949"/>
      <c r="J182" s="949"/>
      <c r="K182" s="949"/>
      <c r="L182" s="952"/>
      <c r="M182" s="529"/>
      <c r="N182" s="529"/>
      <c r="O182" s="529"/>
      <c r="P182" s="529"/>
      <c r="Q182" s="529"/>
      <c r="R182" s="529"/>
      <c r="S182" s="529"/>
      <c r="T182" s="529"/>
      <c r="U182" s="529"/>
    </row>
    <row r="183" spans="1:21" customHeight="1" ht="20.1" s="9" customFormat="1">
      <c r="A183" s="950" t="s">
        <v>213</v>
      </c>
      <c r="B183" s="15"/>
      <c r="C183" s="15"/>
      <c r="D183" s="15"/>
      <c r="E183" s="15"/>
      <c r="F183" s="15"/>
      <c r="G183" s="213"/>
      <c r="H183" s="949"/>
      <c r="I183" s="949"/>
      <c r="J183" s="949"/>
      <c r="K183" s="949"/>
      <c r="L183" s="952"/>
      <c r="M183" s="529"/>
      <c r="N183" s="529"/>
      <c r="O183" s="529"/>
      <c r="P183" s="529"/>
      <c r="Q183" s="529"/>
      <c r="R183" s="529"/>
      <c r="S183" s="529"/>
      <c r="T183" s="529"/>
      <c r="U183" s="529"/>
    </row>
    <row r="184" spans="1:21" customHeight="1" ht="20.1" s="9" customFormat="1">
      <c r="B184" s="9" t="s">
        <v>142</v>
      </c>
      <c r="C184" s="27"/>
      <c r="D184" s="27"/>
      <c r="E184" s="27"/>
      <c r="F184" s="951"/>
      <c r="G184" s="238" t="s">
        <v>143</v>
      </c>
      <c r="H184" s="949"/>
      <c r="I184" s="949"/>
      <c r="J184" s="949"/>
      <c r="K184" s="949"/>
      <c r="L184" s="952"/>
      <c r="M184" s="529"/>
      <c r="N184" s="529"/>
      <c r="O184" s="529"/>
      <c r="P184" s="529"/>
      <c r="Q184" s="529"/>
      <c r="R184" s="529"/>
      <c r="S184" s="529"/>
      <c r="T184" s="529"/>
      <c r="U184" s="529"/>
    </row>
    <row r="185" spans="1:21" customHeight="1" ht="20.1" s="9" customFormat="1">
      <c r="C185" s="37" t="s">
        <v>482</v>
      </c>
      <c r="D185" s="27"/>
      <c r="E185" s="27"/>
      <c r="F185" s="951"/>
      <c r="G185" s="238"/>
      <c r="H185" s="949">
        <v>0</v>
      </c>
      <c r="I185" s="952">
        <v>0</v>
      </c>
      <c r="J185" s="952">
        <f>K185-I185</f>
        <v>500000</v>
      </c>
      <c r="K185" s="953">
        <v>500000</v>
      </c>
      <c r="L185" s="953">
        <v>500000</v>
      </c>
      <c r="M185" s="529"/>
      <c r="N185" s="529"/>
      <c r="O185" s="529"/>
      <c r="P185" s="529"/>
      <c r="Q185" s="529"/>
      <c r="R185" s="529"/>
      <c r="S185" s="529"/>
      <c r="T185" s="529"/>
      <c r="U185" s="529"/>
    </row>
    <row r="186" spans="1:21" customHeight="1" ht="20.1" s="9" customFormat="1">
      <c r="C186" s="29" t="s">
        <v>483</v>
      </c>
      <c r="D186" s="27"/>
      <c r="E186" s="27"/>
      <c r="F186" s="951"/>
      <c r="G186" s="238"/>
      <c r="H186" s="954">
        <v>0</v>
      </c>
      <c r="I186" s="954">
        <v>0</v>
      </c>
      <c r="J186" s="954">
        <v>0</v>
      </c>
      <c r="K186" s="954">
        <v>0</v>
      </c>
      <c r="L186" s="955">
        <v>0</v>
      </c>
      <c r="M186" s="529"/>
      <c r="N186" s="529"/>
      <c r="O186" s="529"/>
      <c r="P186" s="529"/>
      <c r="Q186" s="529"/>
      <c r="R186" s="529"/>
      <c r="S186" s="529"/>
      <c r="T186" s="529"/>
      <c r="U186" s="529"/>
    </row>
    <row r="187" spans="1:21" customHeight="1" ht="20.1" s="968" customFormat="1">
      <c r="A187" s="956" t="s">
        <v>484</v>
      </c>
      <c r="B187" s="957"/>
      <c r="C187" s="957"/>
      <c r="D187" s="957"/>
      <c r="E187" s="957"/>
      <c r="F187" s="957"/>
      <c r="G187" s="966"/>
      <c r="H187" s="958">
        <f>SUM(H183:H186)</f>
        <v>0</v>
      </c>
      <c r="I187" s="958">
        <f>SUM(I183:I186)</f>
        <v>0</v>
      </c>
      <c r="J187" s="958">
        <f>SUM(J183:J186)</f>
        <v>500000</v>
      </c>
      <c r="K187" s="958">
        <f>SUM(K183:K186)</f>
        <v>500000</v>
      </c>
      <c r="L187" s="959">
        <f>SUM(L183:L186)</f>
        <v>500000</v>
      </c>
      <c r="M187" s="967"/>
      <c r="N187" s="967"/>
      <c r="O187" s="967"/>
      <c r="P187" s="967"/>
      <c r="Q187" s="967"/>
      <c r="R187" s="967"/>
      <c r="S187" s="967"/>
      <c r="T187" s="967"/>
      <c r="U187" s="967"/>
    </row>
    <row r="188" spans="1:21" customHeight="1" ht="20.1" s="9" customFormat="1">
      <c r="C188" s="27"/>
      <c r="D188" s="27"/>
      <c r="E188" s="27"/>
      <c r="F188" s="951"/>
      <c r="G188" s="238"/>
      <c r="H188" s="949"/>
      <c r="I188" s="949"/>
      <c r="J188" s="949"/>
      <c r="K188" s="949"/>
      <c r="L188" s="952"/>
      <c r="M188" s="529"/>
      <c r="N188" s="529"/>
      <c r="O188" s="529"/>
      <c r="P188" s="529"/>
      <c r="Q188" s="529"/>
      <c r="R188" s="529"/>
      <c r="S188" s="529"/>
      <c r="T188" s="529"/>
      <c r="U188" s="529"/>
    </row>
    <row r="189" spans="1:21" customHeight="1" ht="20.1" s="9" customFormat="1">
      <c r="A189" s="948" t="s">
        <v>485</v>
      </c>
      <c r="B189" s="15"/>
      <c r="C189" s="15"/>
      <c r="D189" s="15"/>
      <c r="E189" s="15"/>
      <c r="F189" s="15"/>
      <c r="G189" s="213"/>
      <c r="H189" s="949"/>
      <c r="I189" s="949"/>
      <c r="J189" s="949"/>
      <c r="K189" s="949"/>
      <c r="L189" s="952"/>
      <c r="M189" s="529"/>
      <c r="N189" s="529"/>
      <c r="O189" s="529"/>
      <c r="P189" s="529"/>
      <c r="Q189" s="529"/>
      <c r="R189" s="529"/>
      <c r="S189" s="529"/>
      <c r="T189" s="529"/>
      <c r="U189" s="529"/>
    </row>
    <row r="190" spans="1:21" customHeight="1" ht="20.1" s="9" customFormat="1">
      <c r="A190" s="948" t="s">
        <v>486</v>
      </c>
      <c r="B190" s="15"/>
      <c r="C190" s="15"/>
      <c r="D190" s="15"/>
      <c r="E190" s="15"/>
      <c r="F190" s="15"/>
      <c r="G190" s="213"/>
      <c r="H190" s="949"/>
      <c r="I190" s="949"/>
      <c r="J190" s="949"/>
      <c r="K190" s="949"/>
      <c r="L190" s="952"/>
      <c r="M190" s="529"/>
      <c r="N190" s="529"/>
      <c r="O190" s="529"/>
      <c r="P190" s="529"/>
      <c r="Q190" s="529"/>
      <c r="R190" s="529"/>
      <c r="S190" s="529"/>
      <c r="T190" s="529"/>
      <c r="U190" s="529"/>
    </row>
    <row r="191" spans="1:21" customHeight="1" ht="20.1" s="9" customFormat="1">
      <c r="A191" s="950" t="s">
        <v>213</v>
      </c>
      <c r="B191" s="15"/>
      <c r="C191" s="15"/>
      <c r="D191" s="15"/>
      <c r="E191" s="15"/>
      <c r="F191" s="15"/>
      <c r="G191" s="213"/>
      <c r="H191" s="949"/>
      <c r="I191" s="949"/>
      <c r="J191" s="949"/>
      <c r="K191" s="949"/>
      <c r="L191" s="952"/>
      <c r="M191" s="529"/>
      <c r="N191" s="529"/>
      <c r="O191" s="529"/>
      <c r="P191" s="529"/>
      <c r="Q191" s="529"/>
      <c r="R191" s="529"/>
      <c r="S191" s="529"/>
      <c r="T191" s="529"/>
      <c r="U191" s="529"/>
    </row>
    <row r="192" spans="1:21" customHeight="1" ht="20.1" s="9" customFormat="1">
      <c r="B192" s="9" t="s">
        <v>142</v>
      </c>
      <c r="C192" s="27"/>
      <c r="D192" s="27"/>
      <c r="E192" s="27"/>
      <c r="F192" s="951"/>
      <c r="G192" s="238" t="s">
        <v>143</v>
      </c>
      <c r="H192" s="949"/>
      <c r="I192" s="949"/>
      <c r="J192" s="949"/>
      <c r="K192" s="949"/>
      <c r="L192" s="952"/>
      <c r="M192" s="529"/>
      <c r="N192" s="529"/>
      <c r="O192" s="529"/>
      <c r="P192" s="529"/>
      <c r="Q192" s="529"/>
      <c r="R192" s="529"/>
      <c r="S192" s="529"/>
      <c r="T192" s="529"/>
      <c r="U192" s="529"/>
    </row>
    <row r="193" spans="1:21" customHeight="1" ht="20.1" s="9" customFormat="1">
      <c r="C193" s="37" t="s">
        <v>482</v>
      </c>
      <c r="D193" s="27"/>
      <c r="E193" s="27"/>
      <c r="F193" s="951"/>
      <c r="G193" s="238"/>
      <c r="H193" s="949">
        <v>0</v>
      </c>
      <c r="I193" s="952">
        <v>34200</v>
      </c>
      <c r="J193" s="952">
        <f>K193-I193</f>
        <v>465800</v>
      </c>
      <c r="K193" s="953">
        <v>500000</v>
      </c>
      <c r="L193" s="953">
        <v>500000</v>
      </c>
      <c r="M193" s="529"/>
      <c r="N193" s="529"/>
      <c r="O193" s="529"/>
      <c r="P193" s="529"/>
      <c r="Q193" s="529"/>
      <c r="R193" s="529"/>
      <c r="S193" s="529"/>
      <c r="T193" s="529"/>
      <c r="U193" s="529"/>
    </row>
    <row r="194" spans="1:21" customHeight="1" ht="20.1" s="9" customFormat="1">
      <c r="C194" s="29" t="s">
        <v>483</v>
      </c>
      <c r="D194" s="27"/>
      <c r="E194" s="27"/>
      <c r="F194" s="951"/>
      <c r="G194" s="238"/>
      <c r="H194" s="954">
        <v>0</v>
      </c>
      <c r="I194" s="954">
        <v>0</v>
      </c>
      <c r="J194" s="954">
        <v>0</v>
      </c>
      <c r="K194" s="973">
        <v>0</v>
      </c>
      <c r="L194" s="893">
        <v>0</v>
      </c>
      <c r="M194" s="529"/>
      <c r="N194" s="529"/>
      <c r="O194" s="529"/>
      <c r="P194" s="529"/>
      <c r="Q194" s="529"/>
      <c r="R194" s="529"/>
      <c r="S194" s="529"/>
      <c r="T194" s="529"/>
      <c r="U194" s="529"/>
    </row>
    <row r="195" spans="1:21" customHeight="1" ht="20.1" s="968" customFormat="1">
      <c r="A195" s="956" t="s">
        <v>487</v>
      </c>
      <c r="B195" s="957"/>
      <c r="C195" s="957"/>
      <c r="D195" s="957"/>
      <c r="E195" s="957"/>
      <c r="F195" s="957"/>
      <c r="G195" s="966"/>
      <c r="H195" s="958">
        <f>SUM(H191:H194)</f>
        <v>0</v>
      </c>
      <c r="I195" s="958">
        <f>SUM(I191:I194)</f>
        <v>34200</v>
      </c>
      <c r="J195" s="958">
        <f>SUM(J191:J194)</f>
        <v>465800</v>
      </c>
      <c r="K195" s="958">
        <f>SUM(K191:K194)</f>
        <v>500000</v>
      </c>
      <c r="L195" s="974">
        <f>SUM(L191:L194)</f>
        <v>500000</v>
      </c>
      <c r="M195" s="967"/>
      <c r="N195" s="967"/>
      <c r="O195" s="967"/>
      <c r="P195" s="967"/>
      <c r="Q195" s="967"/>
      <c r="R195" s="967"/>
      <c r="S195" s="967"/>
      <c r="T195" s="967"/>
      <c r="U195" s="967"/>
    </row>
    <row r="196" spans="1:21" customHeight="1" ht="20.1" s="9" customFormat="1">
      <c r="C196" s="975"/>
      <c r="D196" s="27"/>
      <c r="E196" s="27"/>
      <c r="F196" s="951"/>
      <c r="G196" s="238"/>
      <c r="H196" s="949"/>
      <c r="I196" s="949"/>
      <c r="J196" s="949"/>
      <c r="K196" s="973"/>
      <c r="L196" s="893"/>
      <c r="M196" s="529"/>
      <c r="N196" s="529"/>
      <c r="O196" s="529"/>
      <c r="P196" s="529"/>
      <c r="Q196" s="529"/>
      <c r="R196" s="529"/>
      <c r="S196" s="529"/>
      <c r="T196" s="529"/>
      <c r="U196" s="529"/>
    </row>
    <row r="197" spans="1:21" customHeight="1" ht="20.1" s="9" customFormat="1">
      <c r="A197" s="73"/>
      <c r="B197" s="73"/>
      <c r="C197" s="976"/>
      <c r="D197" s="961"/>
      <c r="E197" s="961"/>
      <c r="F197" s="962"/>
      <c r="G197" s="572"/>
      <c r="H197" s="963"/>
      <c r="I197" s="963"/>
      <c r="J197" s="963"/>
      <c r="K197" s="977"/>
      <c r="L197" s="978"/>
      <c r="M197" s="529"/>
      <c r="N197" s="529"/>
      <c r="O197" s="529"/>
      <c r="P197" s="529"/>
      <c r="Q197" s="529"/>
      <c r="R197" s="529"/>
      <c r="S197" s="529"/>
      <c r="T197" s="529"/>
      <c r="U197" s="529"/>
    </row>
    <row r="198" spans="1:21" customHeight="1" ht="13.5" s="9" customFormat="1">
      <c r="C198" s="975"/>
      <c r="D198" s="27"/>
      <c r="E198" s="27"/>
      <c r="F198" s="951"/>
      <c r="G198" s="238"/>
      <c r="H198" s="949"/>
      <c r="I198" s="949"/>
      <c r="J198" s="949"/>
      <c r="K198" s="973"/>
      <c r="L198" s="893"/>
      <c r="M198" s="529"/>
      <c r="N198" s="529"/>
      <c r="O198" s="529"/>
      <c r="P198" s="529"/>
      <c r="Q198" s="529"/>
      <c r="R198" s="529"/>
      <c r="S198" s="529"/>
      <c r="T198" s="529"/>
      <c r="U198" s="529"/>
    </row>
    <row r="199" spans="1:21" customHeight="1" ht="20.1" s="9" customFormat="1">
      <c r="A199" s="948" t="s">
        <v>488</v>
      </c>
      <c r="B199" s="15"/>
      <c r="C199" s="15"/>
      <c r="D199" s="15"/>
      <c r="E199" s="15"/>
      <c r="F199" s="15"/>
      <c r="G199" s="213"/>
      <c r="H199" s="949"/>
      <c r="I199" s="949"/>
      <c r="J199" s="949"/>
      <c r="K199" s="949"/>
      <c r="L199" s="952"/>
      <c r="M199" s="529"/>
      <c r="N199" s="529"/>
      <c r="O199" s="529"/>
      <c r="P199" s="529"/>
      <c r="Q199" s="529"/>
      <c r="R199" s="529"/>
      <c r="S199" s="529"/>
      <c r="T199" s="529"/>
      <c r="U199" s="529"/>
    </row>
    <row r="200" spans="1:21" customHeight="1" ht="20.1" s="9" customFormat="1">
      <c r="A200" s="948" t="s">
        <v>489</v>
      </c>
      <c r="B200" s="15"/>
      <c r="C200" s="15"/>
      <c r="D200" s="15"/>
      <c r="E200" s="15"/>
      <c r="F200" s="15"/>
      <c r="G200" s="213"/>
      <c r="H200" s="949"/>
      <c r="I200" s="949"/>
      <c r="J200" s="949"/>
      <c r="K200" s="949"/>
      <c r="L200" s="952"/>
      <c r="M200" s="529"/>
      <c r="N200" s="529"/>
      <c r="O200" s="529"/>
      <c r="P200" s="529"/>
      <c r="Q200" s="529"/>
      <c r="R200" s="529"/>
      <c r="S200" s="529"/>
      <c r="T200" s="529"/>
      <c r="U200" s="529"/>
    </row>
    <row r="201" spans="1:21" customHeight="1" ht="20.1" s="9" customFormat="1">
      <c r="A201" s="950" t="s">
        <v>213</v>
      </c>
      <c r="B201" s="15"/>
      <c r="C201" s="15"/>
      <c r="D201" s="15"/>
      <c r="E201" s="15"/>
      <c r="F201" s="15"/>
      <c r="G201" s="213"/>
      <c r="H201" s="949"/>
      <c r="I201" s="949"/>
      <c r="J201" s="949"/>
      <c r="K201" s="949"/>
      <c r="L201" s="952"/>
      <c r="M201" s="529"/>
      <c r="N201" s="529"/>
      <c r="O201" s="529"/>
      <c r="P201" s="529"/>
      <c r="Q201" s="529"/>
      <c r="R201" s="529"/>
      <c r="S201" s="529"/>
      <c r="T201" s="529"/>
      <c r="U201" s="529"/>
    </row>
    <row r="202" spans="1:21" customHeight="1" ht="20.1" s="9" customFormat="1">
      <c r="B202" s="9" t="s">
        <v>142</v>
      </c>
      <c r="C202" s="27"/>
      <c r="D202" s="27"/>
      <c r="E202" s="27"/>
      <c r="F202" s="951"/>
      <c r="G202" s="238" t="s">
        <v>143</v>
      </c>
      <c r="H202" s="949"/>
      <c r="I202" s="949"/>
      <c r="J202" s="949"/>
      <c r="K202" s="949"/>
      <c r="L202" s="952"/>
      <c r="M202" s="529"/>
      <c r="N202" s="529"/>
      <c r="O202" s="529"/>
      <c r="P202" s="529"/>
      <c r="Q202" s="529"/>
      <c r="R202" s="529"/>
      <c r="S202" s="529"/>
      <c r="T202" s="529"/>
      <c r="U202" s="529"/>
    </row>
    <row r="203" spans="1:21" customHeight="1" ht="20.1" s="9" customFormat="1">
      <c r="C203" s="979" t="s">
        <v>490</v>
      </c>
      <c r="D203" s="27"/>
      <c r="E203" s="27"/>
      <c r="F203" s="951"/>
      <c r="G203" s="238"/>
      <c r="H203" s="238"/>
      <c r="I203" s="953">
        <v>11327</v>
      </c>
      <c r="J203" s="952">
        <f>K203-I203</f>
        <v>88673</v>
      </c>
      <c r="K203" s="953">
        <v>100000</v>
      </c>
      <c r="L203" s="953">
        <v>100000</v>
      </c>
      <c r="M203" s="529"/>
      <c r="N203" s="529"/>
      <c r="O203" s="529"/>
      <c r="P203" s="529"/>
      <c r="Q203" s="529"/>
      <c r="R203" s="529"/>
      <c r="S203" s="529"/>
      <c r="T203" s="529"/>
      <c r="U203" s="529"/>
    </row>
    <row r="204" spans="1:21" customHeight="1" ht="20.1" s="9" customFormat="1">
      <c r="C204" s="979" t="s">
        <v>491</v>
      </c>
      <c r="D204" s="27"/>
      <c r="E204" s="27"/>
      <c r="F204" s="951"/>
      <c r="G204" s="238"/>
      <c r="H204" s="238"/>
      <c r="I204" s="953">
        <v>2717551.85</v>
      </c>
      <c r="J204" s="952">
        <f>K204-I204</f>
        <v>691378.15</v>
      </c>
      <c r="K204" s="953">
        <v>3408930</v>
      </c>
      <c r="L204" s="953">
        <v>3408930</v>
      </c>
      <c r="M204" s="529"/>
      <c r="N204" s="529"/>
      <c r="O204" s="529"/>
      <c r="P204" s="529"/>
      <c r="Q204" s="529"/>
      <c r="R204" s="529"/>
      <c r="S204" s="529"/>
      <c r="T204" s="529"/>
      <c r="U204" s="529"/>
    </row>
    <row r="205" spans="1:21" customHeight="1" ht="20.1" s="9" customFormat="1">
      <c r="C205" s="980" t="s">
        <v>492</v>
      </c>
      <c r="D205" s="27"/>
      <c r="E205" s="27"/>
      <c r="F205" s="951"/>
      <c r="G205" s="238"/>
      <c r="H205" s="238"/>
      <c r="I205" s="953"/>
      <c r="J205" s="906"/>
      <c r="K205" s="952"/>
      <c r="L205" s="952"/>
      <c r="M205" s="529"/>
      <c r="N205" s="529"/>
      <c r="O205" s="529"/>
      <c r="P205" s="529"/>
      <c r="Q205" s="529"/>
      <c r="R205" s="529"/>
      <c r="S205" s="529"/>
      <c r="T205" s="529"/>
      <c r="U205" s="529"/>
    </row>
    <row r="206" spans="1:21" customHeight="1" ht="20.1" s="9" customFormat="1">
      <c r="C206" s="979" t="s">
        <v>491</v>
      </c>
      <c r="D206" s="27"/>
      <c r="E206" s="27"/>
      <c r="F206" s="951"/>
      <c r="G206" s="238"/>
      <c r="H206" s="238"/>
      <c r="I206" s="953">
        <v>3197998.85</v>
      </c>
      <c r="J206" s="952">
        <f>K206-I206</f>
        <v>802001.15</v>
      </c>
      <c r="K206" s="953">
        <v>4000000</v>
      </c>
      <c r="L206" s="953">
        <v>4000000</v>
      </c>
      <c r="M206" s="529"/>
      <c r="N206" s="529"/>
      <c r="O206" s="529"/>
      <c r="P206" s="529"/>
      <c r="Q206" s="529"/>
      <c r="R206" s="529"/>
      <c r="S206" s="529"/>
      <c r="T206" s="529"/>
      <c r="U206" s="529"/>
    </row>
    <row r="207" spans="1:21" customHeight="1" ht="20.1" s="9" customFormat="1">
      <c r="C207" s="980" t="s">
        <v>493</v>
      </c>
      <c r="D207" s="27"/>
      <c r="E207" s="27"/>
      <c r="F207" s="951"/>
      <c r="G207" s="238"/>
      <c r="H207" s="238"/>
      <c r="I207" s="953"/>
      <c r="J207" s="906"/>
      <c r="K207" s="952"/>
      <c r="L207" s="952"/>
      <c r="M207" s="529"/>
      <c r="N207" s="529"/>
      <c r="O207" s="529"/>
      <c r="P207" s="529"/>
      <c r="Q207" s="529"/>
      <c r="R207" s="529"/>
      <c r="S207" s="529"/>
      <c r="T207" s="529"/>
      <c r="U207" s="529"/>
    </row>
    <row r="208" spans="1:21" customHeight="1" ht="20.1" s="9" customFormat="1">
      <c r="C208" s="979" t="s">
        <v>494</v>
      </c>
      <c r="D208" s="27"/>
      <c r="E208" s="27"/>
      <c r="F208" s="951"/>
      <c r="G208" s="238"/>
      <c r="H208" s="238"/>
      <c r="I208" s="953">
        <v>799145.4</v>
      </c>
      <c r="J208" s="952">
        <f>K208-I208</f>
        <v>200854.6</v>
      </c>
      <c r="K208" s="953">
        <v>1000000</v>
      </c>
      <c r="L208" s="953">
        <v>1000000</v>
      </c>
      <c r="M208" s="529"/>
      <c r="N208" s="529"/>
      <c r="O208" s="529"/>
      <c r="P208" s="529"/>
      <c r="Q208" s="529"/>
      <c r="R208" s="529"/>
      <c r="S208" s="529"/>
      <c r="T208" s="529"/>
      <c r="U208" s="529"/>
    </row>
    <row r="209" spans="1:21" customHeight="1" ht="20.1" s="9" customFormat="1">
      <c r="C209" s="980" t="s">
        <v>495</v>
      </c>
      <c r="D209" s="27"/>
      <c r="E209" s="27"/>
      <c r="F209" s="951"/>
      <c r="G209" s="238"/>
      <c r="H209" s="238"/>
      <c r="I209" s="953"/>
      <c r="J209" s="906"/>
      <c r="K209" s="952"/>
      <c r="L209" s="952"/>
      <c r="M209" s="529"/>
      <c r="N209" s="529"/>
      <c r="O209" s="529"/>
      <c r="P209" s="529"/>
      <c r="Q209" s="529"/>
      <c r="R209" s="529"/>
      <c r="S209" s="529"/>
      <c r="T209" s="529"/>
      <c r="U209" s="529"/>
    </row>
    <row r="210" spans="1:21" customHeight="1" ht="20.1" s="9" customFormat="1">
      <c r="C210" s="979" t="s">
        <v>496</v>
      </c>
      <c r="D210" s="27"/>
      <c r="E210" s="27"/>
      <c r="F210" s="951"/>
      <c r="G210" s="238"/>
      <c r="H210" s="238"/>
      <c r="I210" s="953">
        <v>0</v>
      </c>
      <c r="J210" s="952">
        <f>K210-I210</f>
        <v>500000</v>
      </c>
      <c r="K210" s="953">
        <v>500000</v>
      </c>
      <c r="L210" s="953">
        <v>500000</v>
      </c>
      <c r="M210" s="529"/>
      <c r="N210" s="529"/>
      <c r="O210" s="529"/>
      <c r="P210" s="529"/>
      <c r="Q210" s="529"/>
      <c r="R210" s="529"/>
      <c r="S210" s="529"/>
      <c r="T210" s="529"/>
      <c r="U210" s="529"/>
    </row>
    <row r="211" spans="1:21" customHeight="1" ht="20.1" s="9" customFormat="1">
      <c r="C211" s="29" t="s">
        <v>497</v>
      </c>
      <c r="D211" s="27"/>
      <c r="E211" s="27"/>
      <c r="F211" s="951"/>
      <c r="G211" s="238"/>
      <c r="H211" s="954">
        <v>0</v>
      </c>
      <c r="I211" s="954">
        <v>0</v>
      </c>
      <c r="J211" s="954">
        <v>0</v>
      </c>
      <c r="K211" s="955">
        <v>0</v>
      </c>
      <c r="L211" s="955">
        <v>0</v>
      </c>
      <c r="M211" s="529"/>
      <c r="N211" s="529"/>
      <c r="O211" s="529"/>
      <c r="P211" s="529"/>
      <c r="Q211" s="529"/>
      <c r="R211" s="529"/>
      <c r="S211" s="529"/>
      <c r="T211" s="529"/>
      <c r="U211" s="529"/>
    </row>
    <row r="212" spans="1:21" customHeight="1" ht="20.1" s="968" customFormat="1">
      <c r="A212" s="956" t="s">
        <v>498</v>
      </c>
      <c r="B212" s="957"/>
      <c r="C212" s="957"/>
      <c r="D212" s="957"/>
      <c r="E212" s="957"/>
      <c r="F212" s="957"/>
      <c r="G212" s="966"/>
      <c r="H212" s="958">
        <f>SUM(H202:H211)</f>
        <v>0</v>
      </c>
      <c r="I212" s="958">
        <f>SUM(I202:I211)</f>
        <v>6726023.1</v>
      </c>
      <c r="J212" s="958">
        <f>SUM(J202:J211)</f>
        <v>2282906.9</v>
      </c>
      <c r="K212" s="958">
        <f>SUM(K202:K211)</f>
        <v>9008930</v>
      </c>
      <c r="L212" s="959">
        <f>SUM(L202:L211)</f>
        <v>9008930</v>
      </c>
      <c r="M212" s="967"/>
      <c r="N212" s="967"/>
      <c r="O212" s="967"/>
      <c r="P212" s="967"/>
      <c r="Q212" s="967"/>
      <c r="R212" s="967"/>
      <c r="S212" s="967"/>
      <c r="T212" s="967"/>
      <c r="U212" s="967"/>
    </row>
    <row r="213" spans="1:21" customHeight="1" ht="20.1" s="968" customFormat="1">
      <c r="A213" s="956"/>
      <c r="B213" s="957"/>
      <c r="C213" s="957"/>
      <c r="D213" s="957"/>
      <c r="E213" s="957"/>
      <c r="F213" s="957"/>
      <c r="G213" s="966"/>
      <c r="H213" s="958"/>
      <c r="I213" s="958"/>
      <c r="J213" s="958"/>
      <c r="K213" s="958"/>
      <c r="L213" s="959"/>
      <c r="M213" s="967"/>
      <c r="N213" s="967"/>
      <c r="O213" s="967"/>
      <c r="P213" s="967"/>
      <c r="Q213" s="967"/>
      <c r="R213" s="967"/>
      <c r="S213" s="967"/>
      <c r="T213" s="967"/>
      <c r="U213" s="967"/>
    </row>
    <row r="214" spans="1:21" customHeight="1" ht="15" s="968" customFormat="1">
      <c r="A214" s="913"/>
      <c r="B214" s="969"/>
      <c r="C214" s="969"/>
      <c r="D214" s="969"/>
      <c r="E214" s="969"/>
      <c r="F214" s="969"/>
      <c r="G214" s="970"/>
      <c r="H214" s="971"/>
      <c r="I214" s="971"/>
      <c r="J214" s="971"/>
      <c r="K214" s="971"/>
      <c r="L214" s="972"/>
      <c r="M214" s="967"/>
      <c r="N214" s="967"/>
      <c r="O214" s="967"/>
      <c r="P214" s="967"/>
      <c r="Q214" s="967"/>
      <c r="R214" s="967"/>
      <c r="S214" s="967"/>
      <c r="T214" s="967"/>
      <c r="U214" s="967"/>
    </row>
    <row r="215" spans="1:21" customHeight="1" ht="14.1" s="9" customFormat="1">
      <c r="C215" s="27"/>
      <c r="D215" s="27"/>
      <c r="E215" s="27"/>
      <c r="F215" s="951"/>
      <c r="G215" s="238"/>
      <c r="H215" s="238"/>
      <c r="I215" s="238"/>
      <c r="J215" s="238"/>
      <c r="K215" s="949"/>
      <c r="L215" s="952"/>
      <c r="M215" s="529"/>
      <c r="N215" s="529"/>
      <c r="O215" s="529"/>
      <c r="P215" s="529"/>
      <c r="Q215" s="529"/>
      <c r="R215" s="529"/>
      <c r="S215" s="529"/>
      <c r="T215" s="529"/>
      <c r="U215" s="529"/>
    </row>
    <row r="216" spans="1:21" customHeight="1" ht="14.1" s="9" customFormat="1">
      <c r="A216" s="948" t="s">
        <v>499</v>
      </c>
      <c r="B216" s="15"/>
      <c r="C216" s="15"/>
      <c r="D216" s="15"/>
      <c r="E216" s="15"/>
      <c r="F216" s="15"/>
      <c r="G216" s="213"/>
      <c r="H216" s="949"/>
      <c r="I216" s="949"/>
      <c r="J216" s="949"/>
      <c r="K216" s="949"/>
      <c r="L216" s="952"/>
      <c r="M216" s="529"/>
      <c r="N216" s="529"/>
      <c r="O216" s="529"/>
      <c r="P216" s="529"/>
      <c r="Q216" s="529"/>
      <c r="R216" s="529"/>
      <c r="S216" s="529"/>
      <c r="T216" s="529"/>
      <c r="U216" s="529"/>
    </row>
    <row r="217" spans="1:21" customHeight="1" ht="14.1" s="9" customFormat="1">
      <c r="A217" s="950" t="s">
        <v>213</v>
      </c>
      <c r="B217" s="15"/>
      <c r="C217" s="15"/>
      <c r="D217" s="15"/>
      <c r="E217" s="15"/>
      <c r="F217" s="15"/>
      <c r="G217" s="213"/>
      <c r="H217" s="949"/>
      <c r="I217" s="949"/>
      <c r="J217" s="949"/>
      <c r="K217" s="949"/>
      <c r="L217" s="952"/>
      <c r="M217" s="529"/>
      <c r="N217" s="529"/>
      <c r="O217" s="529"/>
      <c r="P217" s="529"/>
      <c r="Q217" s="529"/>
      <c r="R217" s="529"/>
      <c r="S217" s="529"/>
      <c r="T217" s="529"/>
      <c r="U217" s="529"/>
    </row>
    <row r="218" spans="1:21" customHeight="1" ht="14.1" s="9" customFormat="1">
      <c r="B218" s="9" t="s">
        <v>142</v>
      </c>
      <c r="C218" s="27"/>
      <c r="D218" s="27"/>
      <c r="E218" s="27"/>
      <c r="F218" s="951"/>
      <c r="G218" s="238" t="s">
        <v>143</v>
      </c>
      <c r="H218" s="949"/>
      <c r="I218" s="949"/>
      <c r="J218" s="949"/>
      <c r="K218" s="949"/>
      <c r="L218" s="952"/>
      <c r="M218" s="529"/>
      <c r="N218" s="529"/>
      <c r="O218" s="529"/>
      <c r="P218" s="529"/>
      <c r="Q218" s="529"/>
      <c r="R218" s="529"/>
      <c r="S218" s="529"/>
      <c r="T218" s="529"/>
      <c r="U218" s="529"/>
    </row>
    <row r="219" spans="1:21" customHeight="1" ht="14.1" s="9" customFormat="1">
      <c r="C219" s="979" t="s">
        <v>500</v>
      </c>
      <c r="D219" s="27"/>
      <c r="E219" s="27"/>
      <c r="F219" s="951"/>
      <c r="G219" s="238"/>
      <c r="H219" s="238"/>
      <c r="I219" s="953">
        <v>45000</v>
      </c>
      <c r="J219" s="952">
        <f>K219-I219</f>
        <v>155000</v>
      </c>
      <c r="K219" s="953">
        <v>200000</v>
      </c>
      <c r="L219" s="953">
        <v>200000</v>
      </c>
      <c r="M219" s="529"/>
      <c r="N219" s="529"/>
      <c r="O219" s="529"/>
      <c r="P219" s="529"/>
      <c r="Q219" s="529"/>
      <c r="R219" s="529"/>
      <c r="S219" s="529"/>
      <c r="T219" s="529"/>
      <c r="U219" s="529"/>
    </row>
    <row r="220" spans="1:21" customHeight="1" ht="14.1" s="9" customFormat="1">
      <c r="C220" s="980" t="s">
        <v>501</v>
      </c>
      <c r="D220" s="27"/>
      <c r="E220" s="27"/>
      <c r="F220" s="951"/>
      <c r="G220" s="238"/>
      <c r="H220" s="238"/>
      <c r="I220" s="952"/>
      <c r="J220" s="906"/>
      <c r="K220" s="952"/>
      <c r="L220" s="952"/>
      <c r="M220" s="529"/>
      <c r="N220" s="529"/>
      <c r="O220" s="529"/>
      <c r="P220" s="529"/>
      <c r="Q220" s="529"/>
      <c r="R220" s="529"/>
      <c r="S220" s="529"/>
      <c r="T220" s="529"/>
      <c r="U220" s="529"/>
    </row>
    <row r="221" spans="1:21" customHeight="1" ht="14.1" s="9" customFormat="1">
      <c r="C221" s="979" t="s">
        <v>500</v>
      </c>
      <c r="D221" s="27"/>
      <c r="E221" s="27"/>
      <c r="F221" s="951"/>
      <c r="G221" s="238"/>
      <c r="H221" s="238"/>
      <c r="I221" s="953">
        <v>21860</v>
      </c>
      <c r="J221" s="952">
        <f>K221-I221</f>
        <v>78140</v>
      </c>
      <c r="K221" s="953">
        <v>100000</v>
      </c>
      <c r="L221" s="953">
        <v>100000</v>
      </c>
      <c r="M221" s="529"/>
      <c r="N221" s="529"/>
      <c r="O221" s="529"/>
      <c r="P221" s="529"/>
      <c r="Q221" s="529"/>
      <c r="R221" s="529"/>
      <c r="S221" s="529"/>
      <c r="T221" s="529"/>
      <c r="U221" s="529"/>
    </row>
    <row r="222" spans="1:21" customHeight="1" ht="14.1" s="9" customFormat="1">
      <c r="C222" s="980" t="s">
        <v>502</v>
      </c>
      <c r="D222" s="27"/>
      <c r="E222" s="27"/>
      <c r="F222" s="951"/>
      <c r="G222" s="238"/>
      <c r="H222" s="238"/>
      <c r="I222" s="952"/>
      <c r="J222" s="906"/>
      <c r="K222" s="952"/>
      <c r="L222" s="952"/>
      <c r="M222" s="529"/>
      <c r="N222" s="529"/>
      <c r="O222" s="529"/>
      <c r="P222" s="529"/>
      <c r="Q222" s="529"/>
      <c r="R222" s="529"/>
      <c r="S222" s="529"/>
      <c r="T222" s="529"/>
      <c r="U222" s="529"/>
    </row>
    <row r="223" spans="1:21" customHeight="1" ht="14.1" s="9" customFormat="1">
      <c r="C223" s="979" t="s">
        <v>500</v>
      </c>
      <c r="D223" s="27"/>
      <c r="E223" s="27"/>
      <c r="F223" s="951"/>
      <c r="G223" s="238"/>
      <c r="H223" s="238"/>
      <c r="I223" s="953">
        <v>52000</v>
      </c>
      <c r="J223" s="952">
        <f>K223-I223</f>
        <v>248000</v>
      </c>
      <c r="K223" s="953">
        <v>300000</v>
      </c>
      <c r="L223" s="953">
        <v>300000</v>
      </c>
      <c r="M223" s="529"/>
      <c r="N223" s="529"/>
      <c r="O223" s="529"/>
      <c r="P223" s="529"/>
      <c r="Q223" s="529"/>
      <c r="R223" s="529"/>
      <c r="S223" s="529"/>
      <c r="T223" s="529"/>
      <c r="U223" s="529"/>
    </row>
    <row r="224" spans="1:21" customHeight="1" ht="14.1" s="9" customFormat="1">
      <c r="C224" s="980" t="s">
        <v>503</v>
      </c>
      <c r="D224" s="27"/>
      <c r="E224" s="27"/>
      <c r="F224" s="951"/>
      <c r="G224" s="238"/>
      <c r="H224" s="238"/>
      <c r="I224" s="952"/>
      <c r="J224" s="906"/>
      <c r="K224" s="952"/>
      <c r="L224" s="952"/>
      <c r="M224" s="529"/>
      <c r="N224" s="529"/>
      <c r="O224" s="529"/>
      <c r="P224" s="529"/>
      <c r="Q224" s="529"/>
      <c r="R224" s="529"/>
      <c r="S224" s="529"/>
      <c r="T224" s="529"/>
      <c r="U224" s="529"/>
    </row>
    <row r="225" spans="1:21" customHeight="1" ht="14.1" s="9" customFormat="1">
      <c r="C225" s="981" t="s">
        <v>504</v>
      </c>
      <c r="D225" s="27"/>
      <c r="E225" s="27"/>
      <c r="F225" s="951"/>
      <c r="G225" s="238"/>
      <c r="H225" s="238"/>
      <c r="I225" s="952"/>
      <c r="J225" s="906"/>
      <c r="K225" s="952"/>
      <c r="L225" s="952"/>
      <c r="M225" s="529"/>
      <c r="N225" s="529"/>
      <c r="O225" s="529"/>
      <c r="P225" s="529"/>
      <c r="Q225" s="529"/>
      <c r="R225" s="529"/>
      <c r="S225" s="529"/>
      <c r="T225" s="529"/>
      <c r="U225" s="529"/>
    </row>
    <row r="226" spans="1:21" customHeight="1" ht="14.1" s="9" customFormat="1">
      <c r="C226" s="979" t="s">
        <v>505</v>
      </c>
      <c r="D226" s="27"/>
      <c r="E226" s="27"/>
      <c r="F226" s="951"/>
      <c r="G226" s="238"/>
      <c r="H226" s="238"/>
      <c r="I226" s="953">
        <v>0</v>
      </c>
      <c r="J226" s="952">
        <f>K226-I226</f>
        <v>300000</v>
      </c>
      <c r="K226" s="953">
        <v>300000</v>
      </c>
      <c r="L226" s="953">
        <v>300000</v>
      </c>
      <c r="M226" s="529"/>
      <c r="N226" s="529"/>
      <c r="O226" s="529"/>
      <c r="P226" s="529"/>
      <c r="Q226" s="529"/>
      <c r="R226" s="529"/>
      <c r="S226" s="529"/>
      <c r="T226" s="529"/>
      <c r="U226" s="529"/>
    </row>
    <row r="227" spans="1:21" customHeight="1" ht="14.1" s="9" customFormat="1">
      <c r="C227" s="980" t="s">
        <v>506</v>
      </c>
      <c r="D227" s="27"/>
      <c r="E227" s="27"/>
      <c r="F227" s="951"/>
      <c r="G227" s="238"/>
      <c r="H227" s="954">
        <v>0</v>
      </c>
      <c r="I227" s="955">
        <v>0</v>
      </c>
      <c r="J227" s="955">
        <v>0</v>
      </c>
      <c r="K227" s="955">
        <v>0</v>
      </c>
      <c r="L227" s="955">
        <v>0</v>
      </c>
      <c r="M227" s="529"/>
      <c r="N227" s="529"/>
      <c r="O227" s="529"/>
      <c r="P227" s="529"/>
      <c r="Q227" s="529"/>
      <c r="R227" s="529"/>
      <c r="S227" s="529"/>
      <c r="T227" s="529"/>
      <c r="U227" s="529"/>
    </row>
    <row r="228" spans="1:21" customHeight="1" ht="14.1" s="968" customFormat="1">
      <c r="A228" s="956" t="s">
        <v>507</v>
      </c>
      <c r="B228" s="957"/>
      <c r="C228" s="957"/>
      <c r="D228" s="957"/>
      <c r="E228" s="957"/>
      <c r="F228" s="957"/>
      <c r="G228" s="966"/>
      <c r="H228" s="958">
        <f>SUM(H217:H227)</f>
        <v>0</v>
      </c>
      <c r="I228" s="958">
        <f>SUM(I217:I227)</f>
        <v>118860</v>
      </c>
      <c r="J228" s="958">
        <f>SUM(J217:J227)</f>
        <v>781140</v>
      </c>
      <c r="K228" s="958">
        <f>SUM(K217:K227)</f>
        <v>900000</v>
      </c>
      <c r="L228" s="959">
        <f>SUM(L217:L227)</f>
        <v>900000</v>
      </c>
      <c r="M228" s="967"/>
      <c r="N228" s="967"/>
      <c r="O228" s="967"/>
      <c r="P228" s="967"/>
      <c r="Q228" s="967"/>
      <c r="R228" s="967"/>
      <c r="S228" s="967"/>
      <c r="T228" s="967"/>
      <c r="U228" s="967"/>
    </row>
    <row r="229" spans="1:21" customHeight="1" ht="14.1" s="9" customFormat="1">
      <c r="C229" s="27"/>
      <c r="D229" s="27"/>
      <c r="E229" s="27"/>
      <c r="F229" s="951"/>
      <c r="G229" s="238"/>
      <c r="H229" s="238"/>
      <c r="I229" s="238"/>
      <c r="J229" s="238"/>
      <c r="K229" s="949"/>
      <c r="L229" s="952"/>
      <c r="M229" s="529"/>
      <c r="N229" s="529"/>
      <c r="O229" s="529"/>
      <c r="P229" s="529"/>
      <c r="Q229" s="529"/>
      <c r="R229" s="529"/>
      <c r="S229" s="529"/>
      <c r="T229" s="529"/>
      <c r="U229" s="529"/>
    </row>
    <row r="230" spans="1:21" customHeight="1" ht="17.1" s="9" customFormat="1">
      <c r="A230" s="948" t="s">
        <v>508</v>
      </c>
      <c r="B230" s="15"/>
      <c r="C230" s="15"/>
      <c r="D230" s="15"/>
      <c r="E230" s="15"/>
      <c r="F230" s="15"/>
      <c r="G230" s="213"/>
      <c r="H230" s="949"/>
      <c r="I230" s="949"/>
      <c r="J230" s="949"/>
      <c r="K230" s="949"/>
      <c r="L230" s="952"/>
      <c r="M230" s="529"/>
      <c r="N230" s="529"/>
      <c r="O230" s="529"/>
      <c r="P230" s="529"/>
      <c r="Q230" s="529"/>
      <c r="R230" s="529"/>
      <c r="S230" s="529"/>
      <c r="T230" s="529"/>
      <c r="U230" s="529"/>
    </row>
    <row r="231" spans="1:21" customHeight="1" ht="17.1" s="9" customFormat="1">
      <c r="A231" s="950" t="s">
        <v>213</v>
      </c>
      <c r="B231" s="15"/>
      <c r="C231" s="15"/>
      <c r="D231" s="15"/>
      <c r="E231" s="15"/>
      <c r="F231" s="15"/>
      <c r="G231" s="213"/>
      <c r="H231" s="949"/>
      <c r="I231" s="949"/>
      <c r="J231" s="949"/>
      <c r="K231" s="949"/>
      <c r="L231" s="952"/>
      <c r="M231" s="529"/>
      <c r="N231" s="529"/>
      <c r="O231" s="529"/>
      <c r="P231" s="529"/>
      <c r="Q231" s="529"/>
      <c r="R231" s="529"/>
      <c r="S231" s="529"/>
      <c r="T231" s="529"/>
      <c r="U231" s="529"/>
    </row>
    <row r="232" spans="1:21" customHeight="1" ht="17.1" s="9" customFormat="1">
      <c r="B232" s="9" t="s">
        <v>142</v>
      </c>
      <c r="C232" s="27"/>
      <c r="D232" s="27"/>
      <c r="E232" s="27"/>
      <c r="F232" s="951"/>
      <c r="G232" s="238" t="s">
        <v>143</v>
      </c>
      <c r="H232" s="949"/>
      <c r="I232" s="949"/>
      <c r="J232" s="949"/>
      <c r="K232" s="949"/>
      <c r="L232" s="952"/>
      <c r="M232" s="529"/>
      <c r="N232" s="529"/>
      <c r="O232" s="529"/>
      <c r="P232" s="529"/>
      <c r="Q232" s="529"/>
      <c r="R232" s="529"/>
      <c r="S232" s="529"/>
      <c r="T232" s="529"/>
      <c r="U232" s="529"/>
    </row>
    <row r="233" spans="1:21" customHeight="1" ht="17.1" s="9" customFormat="1">
      <c r="C233" s="37" t="s">
        <v>509</v>
      </c>
      <c r="D233" s="27"/>
      <c r="E233" s="27"/>
      <c r="F233" s="951"/>
      <c r="G233" s="238"/>
      <c r="H233" s="954">
        <v>0</v>
      </c>
      <c r="I233" s="955">
        <v>0</v>
      </c>
      <c r="J233" s="955">
        <f>K233-I233</f>
        <v>100000</v>
      </c>
      <c r="K233" s="982">
        <v>100000</v>
      </c>
      <c r="L233" s="982">
        <v>100000</v>
      </c>
      <c r="M233" s="529"/>
      <c r="N233" s="529"/>
      <c r="O233" s="529"/>
      <c r="P233" s="529"/>
      <c r="Q233" s="529"/>
      <c r="R233" s="529"/>
      <c r="S233" s="529"/>
      <c r="T233" s="529"/>
      <c r="U233" s="529"/>
    </row>
    <row r="234" spans="1:21" customHeight="1" ht="17.1" s="968" customFormat="1">
      <c r="A234" s="956" t="s">
        <v>510</v>
      </c>
      <c r="B234" s="957"/>
      <c r="C234" s="957"/>
      <c r="D234" s="957"/>
      <c r="E234" s="957"/>
      <c r="F234" s="957"/>
      <c r="G234" s="966"/>
      <c r="H234" s="958">
        <f>SUM(H232:H233)</f>
        <v>0</v>
      </c>
      <c r="I234" s="958">
        <f>SUM(I232:I233)</f>
        <v>0</v>
      </c>
      <c r="J234" s="958">
        <f>SUM(J232:J233)</f>
        <v>100000</v>
      </c>
      <c r="K234" s="958">
        <f>SUM(K232:K233)</f>
        <v>100000</v>
      </c>
      <c r="L234" s="959">
        <f>SUM(L232:L233)</f>
        <v>100000</v>
      </c>
      <c r="M234" s="967"/>
      <c r="N234" s="967"/>
      <c r="O234" s="967"/>
      <c r="P234" s="967"/>
      <c r="Q234" s="967"/>
      <c r="R234" s="967"/>
      <c r="S234" s="967"/>
      <c r="T234" s="967"/>
      <c r="U234" s="967"/>
    </row>
    <row r="235" spans="1:21" customHeight="1" ht="17.1" s="9" customFormat="1">
      <c r="C235" s="27"/>
      <c r="D235" s="27"/>
      <c r="E235" s="27"/>
      <c r="F235" s="951"/>
      <c r="G235" s="238"/>
      <c r="H235" s="238"/>
      <c r="I235" s="238"/>
      <c r="J235" s="238"/>
      <c r="K235" s="949"/>
      <c r="L235" s="952"/>
      <c r="M235" s="529"/>
      <c r="N235" s="529"/>
      <c r="O235" s="529"/>
      <c r="P235" s="529"/>
      <c r="Q235" s="529"/>
      <c r="R235" s="529"/>
      <c r="S235" s="529"/>
      <c r="T235" s="529"/>
      <c r="U235" s="529"/>
    </row>
    <row r="236" spans="1:21" customHeight="1" ht="17.1" s="9" customFormat="1">
      <c r="A236" s="73"/>
      <c r="B236" s="73"/>
      <c r="C236" s="961"/>
      <c r="D236" s="961"/>
      <c r="E236" s="961"/>
      <c r="F236" s="962"/>
      <c r="G236" s="572"/>
      <c r="H236" s="572"/>
      <c r="I236" s="572"/>
      <c r="J236" s="572"/>
      <c r="K236" s="963"/>
      <c r="L236" s="964"/>
      <c r="M236" s="529"/>
      <c r="N236" s="529"/>
      <c r="O236" s="529"/>
      <c r="P236" s="529"/>
      <c r="Q236" s="529"/>
      <c r="R236" s="529"/>
      <c r="S236" s="529"/>
      <c r="T236" s="529"/>
      <c r="U236" s="529"/>
    </row>
    <row r="237" spans="1:21" customHeight="1" ht="12.95" s="9" customFormat="1">
      <c r="A237" s="948" t="s">
        <v>511</v>
      </c>
      <c r="B237" s="15"/>
      <c r="C237" s="15"/>
      <c r="D237" s="15"/>
      <c r="E237" s="15"/>
      <c r="F237" s="15"/>
      <c r="G237" s="213"/>
      <c r="H237" s="949"/>
      <c r="I237" s="949"/>
      <c r="J237" s="949"/>
      <c r="K237" s="949"/>
      <c r="L237" s="952"/>
      <c r="M237" s="529"/>
      <c r="N237" s="529"/>
      <c r="O237" s="529"/>
      <c r="P237" s="529"/>
      <c r="Q237" s="529"/>
      <c r="R237" s="529"/>
      <c r="S237" s="529"/>
      <c r="T237" s="529"/>
      <c r="U237" s="529"/>
    </row>
    <row r="238" spans="1:21" customHeight="1" ht="12.95" s="9" customFormat="1">
      <c r="A238" s="950" t="s">
        <v>213</v>
      </c>
      <c r="B238" s="15"/>
      <c r="C238" s="15"/>
      <c r="D238" s="15"/>
      <c r="E238" s="15"/>
      <c r="F238" s="15"/>
      <c r="G238" s="213"/>
      <c r="H238" s="949"/>
      <c r="I238" s="949"/>
      <c r="J238" s="949"/>
      <c r="K238" s="949"/>
      <c r="L238" s="952"/>
      <c r="M238" s="529"/>
      <c r="N238" s="529"/>
      <c r="O238" s="529"/>
      <c r="P238" s="529"/>
      <c r="Q238" s="529"/>
      <c r="R238" s="529"/>
      <c r="S238" s="529"/>
      <c r="T238" s="529"/>
      <c r="U238" s="529"/>
    </row>
    <row r="239" spans="1:21" customHeight="1" ht="12.95" s="9" customFormat="1">
      <c r="B239" s="9" t="s">
        <v>142</v>
      </c>
      <c r="C239" s="27"/>
      <c r="D239" s="27"/>
      <c r="E239" s="27"/>
      <c r="F239" s="951"/>
      <c r="G239" s="238" t="s">
        <v>143</v>
      </c>
      <c r="H239" s="949"/>
      <c r="I239" s="949"/>
      <c r="J239" s="949"/>
      <c r="K239" s="949"/>
      <c r="L239" s="952"/>
      <c r="M239" s="529"/>
      <c r="N239" s="529"/>
      <c r="O239" s="529"/>
      <c r="P239" s="529"/>
      <c r="Q239" s="529"/>
      <c r="R239" s="529"/>
      <c r="S239" s="529"/>
      <c r="T239" s="529"/>
      <c r="U239" s="529"/>
    </row>
    <row r="240" spans="1:21" customHeight="1" ht="12.95" s="9" customFormat="1">
      <c r="C240" s="37" t="s">
        <v>512</v>
      </c>
      <c r="D240" s="27"/>
      <c r="E240" s="27"/>
      <c r="F240" s="951"/>
      <c r="G240" s="238"/>
      <c r="H240" s="949">
        <v>0</v>
      </c>
      <c r="I240" s="952">
        <v>2527700</v>
      </c>
      <c r="J240" s="952">
        <f>K240-I240</f>
        <v>7472300</v>
      </c>
      <c r="K240" s="953">
        <v>10000000</v>
      </c>
      <c r="L240" s="953">
        <v>2700000</v>
      </c>
      <c r="M240" s="529"/>
      <c r="N240" s="529"/>
      <c r="O240" s="529"/>
      <c r="P240" s="529"/>
      <c r="Q240" s="529"/>
      <c r="R240" s="529"/>
      <c r="S240" s="529"/>
      <c r="T240" s="529"/>
      <c r="U240" s="529"/>
    </row>
    <row r="241" spans="1:21" customHeight="1" ht="12.95" s="9" customFormat="1">
      <c r="C241" s="37" t="s">
        <v>513</v>
      </c>
      <c r="D241" s="27"/>
      <c r="E241" s="27"/>
      <c r="F241" s="951"/>
      <c r="G241" s="238"/>
      <c r="H241" s="906"/>
      <c r="I241" s="906"/>
      <c r="J241" s="906"/>
      <c r="K241" s="953"/>
      <c r="L241" s="953">
        <v>500000</v>
      </c>
      <c r="M241" s="529"/>
      <c r="N241" s="529"/>
      <c r="O241" s="529"/>
      <c r="P241" s="529"/>
      <c r="Q241" s="529"/>
      <c r="R241" s="529"/>
      <c r="S241" s="529"/>
      <c r="T241" s="529"/>
    </row>
    <row r="242" spans="1:21" customHeight="1" ht="12.95" s="9" customFormat="1">
      <c r="C242" s="29" t="s">
        <v>514</v>
      </c>
      <c r="D242" s="27"/>
      <c r="E242" s="27"/>
      <c r="F242" s="951"/>
      <c r="G242" s="238"/>
      <c r="H242" s="906"/>
      <c r="I242" s="906"/>
      <c r="J242" s="906"/>
      <c r="K242" s="953"/>
      <c r="L242" s="953"/>
      <c r="M242" s="529"/>
      <c r="N242" s="529"/>
      <c r="O242" s="529"/>
      <c r="P242" s="529"/>
      <c r="Q242" s="529"/>
      <c r="R242" s="529"/>
      <c r="S242" s="529"/>
      <c r="T242" s="529"/>
    </row>
    <row r="243" spans="1:21" customHeight="1" ht="12.95" s="9" customFormat="1">
      <c r="C243" s="37" t="s">
        <v>515</v>
      </c>
      <c r="D243" s="27"/>
      <c r="E243" s="27"/>
      <c r="F243" s="951"/>
      <c r="G243" s="238"/>
      <c r="H243" s="906"/>
      <c r="I243" s="906"/>
      <c r="J243" s="906"/>
      <c r="K243" s="953"/>
      <c r="L243" s="953">
        <v>800000</v>
      </c>
      <c r="M243" s="529"/>
      <c r="N243" s="529"/>
      <c r="O243" s="529"/>
      <c r="P243" s="529"/>
      <c r="Q243" s="529"/>
      <c r="R243" s="529"/>
      <c r="S243" s="529"/>
      <c r="T243" s="529"/>
    </row>
    <row r="244" spans="1:21" customHeight="1" ht="12.95" s="9" customFormat="1">
      <c r="C244" s="29" t="s">
        <v>516</v>
      </c>
      <c r="D244" s="27"/>
      <c r="E244" s="27"/>
      <c r="F244" s="951"/>
      <c r="G244" s="238"/>
      <c r="H244" s="906"/>
      <c r="I244" s="906"/>
      <c r="J244" s="906"/>
      <c r="K244" s="953"/>
      <c r="L244" s="953"/>
      <c r="M244" s="529"/>
      <c r="N244" s="529"/>
      <c r="O244" s="529"/>
      <c r="P244" s="529"/>
      <c r="Q244" s="529"/>
      <c r="R244" s="529"/>
      <c r="S244" s="529"/>
      <c r="T244" s="529"/>
    </row>
    <row r="245" spans="1:21" customHeight="1" ht="12.95" s="9" customFormat="1">
      <c r="C245" s="29" t="s">
        <v>517</v>
      </c>
      <c r="D245" s="27"/>
      <c r="E245" s="27"/>
      <c r="F245" s="951"/>
      <c r="G245" s="238"/>
      <c r="H245" s="906"/>
      <c r="I245" s="906"/>
      <c r="J245" s="906"/>
      <c r="K245" s="953"/>
      <c r="L245" s="953"/>
      <c r="M245" s="529"/>
      <c r="N245" s="529"/>
      <c r="O245" s="529"/>
      <c r="P245" s="529"/>
      <c r="Q245" s="529"/>
      <c r="R245" s="529"/>
      <c r="S245" s="529"/>
      <c r="T245" s="529"/>
    </row>
    <row r="246" spans="1:21" customHeight="1" ht="12.95" s="9" customFormat="1">
      <c r="C246" s="37" t="s">
        <v>518</v>
      </c>
      <c r="D246" s="27"/>
      <c r="E246" s="27"/>
      <c r="F246" s="951"/>
      <c r="G246" s="238"/>
      <c r="H246" s="906"/>
      <c r="I246" s="906"/>
      <c r="J246" s="906"/>
      <c r="K246" s="953"/>
      <c r="L246" s="953">
        <v>3000000</v>
      </c>
      <c r="M246" s="529"/>
      <c r="N246" s="529"/>
      <c r="O246" s="529"/>
      <c r="P246" s="529"/>
      <c r="Q246" s="529"/>
      <c r="R246" s="529"/>
      <c r="S246" s="529"/>
      <c r="T246" s="529"/>
    </row>
    <row r="247" spans="1:21" customHeight="1" ht="12.95" s="9" customFormat="1">
      <c r="C247" s="29" t="s">
        <v>519</v>
      </c>
      <c r="D247" s="27"/>
      <c r="E247" s="27"/>
      <c r="F247" s="951"/>
      <c r="G247" s="238"/>
      <c r="H247" s="906"/>
      <c r="I247" s="906"/>
      <c r="J247" s="906"/>
      <c r="K247" s="953"/>
      <c r="L247" s="953"/>
      <c r="M247" s="529"/>
      <c r="N247" s="529"/>
      <c r="O247" s="529"/>
      <c r="P247" s="529"/>
      <c r="Q247" s="529"/>
      <c r="R247" s="529"/>
      <c r="S247" s="529"/>
      <c r="T247" s="529"/>
    </row>
    <row r="248" spans="1:21" customHeight="1" ht="12.95" s="9" customFormat="1">
      <c r="C248" s="29" t="s">
        <v>520</v>
      </c>
      <c r="D248" s="27"/>
      <c r="E248" s="27"/>
      <c r="F248" s="951"/>
      <c r="G248" s="238"/>
      <c r="H248" s="906"/>
      <c r="I248" s="906"/>
      <c r="J248" s="906"/>
      <c r="K248" s="953"/>
      <c r="L248" s="953"/>
      <c r="M248" s="529"/>
      <c r="N248" s="529"/>
      <c r="O248" s="529"/>
      <c r="P248" s="529"/>
      <c r="Q248" s="529"/>
      <c r="R248" s="529"/>
      <c r="S248" s="529"/>
      <c r="T248" s="529"/>
    </row>
    <row r="249" spans="1:21" customHeight="1" ht="12.95" s="9" customFormat="1">
      <c r="C249" s="29" t="s">
        <v>521</v>
      </c>
      <c r="D249" s="27"/>
      <c r="E249" s="27"/>
      <c r="F249" s="951"/>
      <c r="G249" s="238"/>
      <c r="H249" s="906"/>
      <c r="I249" s="906"/>
      <c r="J249" s="906"/>
      <c r="K249" s="953"/>
      <c r="L249" s="953"/>
      <c r="M249" s="529"/>
      <c r="N249" s="529"/>
      <c r="O249" s="529"/>
      <c r="P249" s="529"/>
      <c r="Q249" s="529"/>
      <c r="R249" s="529"/>
      <c r="S249" s="529"/>
      <c r="T249" s="529"/>
    </row>
    <row r="250" spans="1:21" customHeight="1" ht="12.95" s="9" customFormat="1">
      <c r="C250" s="37" t="s">
        <v>522</v>
      </c>
      <c r="D250" s="27"/>
      <c r="E250" s="27"/>
      <c r="F250" s="951"/>
      <c r="G250" s="238"/>
      <c r="H250" s="906"/>
      <c r="I250" s="906"/>
      <c r="J250" s="906"/>
      <c r="K250" s="953"/>
      <c r="L250" s="953">
        <v>800000</v>
      </c>
      <c r="M250" s="529"/>
      <c r="N250" s="529"/>
      <c r="O250" s="529"/>
      <c r="P250" s="529"/>
      <c r="Q250" s="529"/>
      <c r="R250" s="529"/>
      <c r="S250" s="529"/>
      <c r="T250" s="529"/>
    </row>
    <row r="251" spans="1:21" customHeight="1" ht="12.95" s="9" customFormat="1">
      <c r="C251" s="29" t="s">
        <v>523</v>
      </c>
      <c r="D251" s="27"/>
      <c r="E251" s="27"/>
      <c r="F251" s="951"/>
      <c r="G251" s="238"/>
      <c r="H251" s="906"/>
      <c r="I251" s="906"/>
      <c r="J251" s="906"/>
      <c r="K251" s="953"/>
      <c r="L251" s="953"/>
      <c r="M251" s="529"/>
      <c r="N251" s="529"/>
      <c r="O251" s="529"/>
      <c r="P251" s="529"/>
      <c r="Q251" s="529"/>
      <c r="R251" s="529"/>
      <c r="S251" s="529"/>
      <c r="T251" s="529"/>
    </row>
    <row r="252" spans="1:21" customHeight="1" ht="12.95" s="9" customFormat="1">
      <c r="C252" s="29" t="s">
        <v>524</v>
      </c>
      <c r="D252" s="27"/>
      <c r="E252" s="27"/>
      <c r="F252" s="951"/>
      <c r="G252" s="238"/>
      <c r="H252" s="906"/>
      <c r="I252" s="906"/>
      <c r="J252" s="906"/>
      <c r="K252" s="953"/>
      <c r="L252" s="953"/>
      <c r="M252" s="529"/>
      <c r="N252" s="529"/>
      <c r="O252" s="529"/>
      <c r="P252" s="529"/>
      <c r="Q252" s="529"/>
      <c r="R252" s="529"/>
      <c r="S252" s="529"/>
      <c r="T252" s="529"/>
    </row>
    <row r="253" spans="1:21" customHeight="1" ht="12.95" s="9" customFormat="1">
      <c r="C253" s="29" t="s">
        <v>525</v>
      </c>
      <c r="D253" s="27"/>
      <c r="E253" s="27"/>
      <c r="F253" s="951"/>
      <c r="G253" s="238"/>
      <c r="H253" s="906"/>
      <c r="I253" s="906"/>
      <c r="J253" s="906"/>
      <c r="K253" s="953"/>
      <c r="L253" s="953"/>
      <c r="M253" s="529"/>
      <c r="N253" s="529"/>
      <c r="O253" s="529"/>
      <c r="P253" s="529"/>
      <c r="Q253" s="529"/>
      <c r="R253" s="529"/>
      <c r="S253" s="529"/>
      <c r="T253" s="529"/>
    </row>
    <row r="254" spans="1:21" customHeight="1" ht="12.95" s="9" customFormat="1">
      <c r="C254" s="37" t="s">
        <v>526</v>
      </c>
      <c r="D254" s="27"/>
      <c r="E254" s="27"/>
      <c r="F254" s="951"/>
      <c r="G254" s="238"/>
      <c r="H254" s="906"/>
      <c r="I254" s="906"/>
      <c r="J254" s="906"/>
      <c r="K254" s="953"/>
      <c r="L254" s="953">
        <v>500000</v>
      </c>
      <c r="M254" s="529"/>
      <c r="N254" s="529"/>
      <c r="O254" s="529"/>
      <c r="P254" s="529"/>
      <c r="Q254" s="529"/>
      <c r="R254" s="529"/>
      <c r="S254" s="529"/>
      <c r="T254" s="529"/>
    </row>
    <row r="255" spans="1:21" customHeight="1" ht="12.95" s="9" customFormat="1">
      <c r="C255" s="29" t="s">
        <v>527</v>
      </c>
      <c r="D255" s="27"/>
      <c r="E255" s="27"/>
      <c r="F255" s="951"/>
      <c r="G255" s="238"/>
      <c r="H255" s="906"/>
      <c r="I255" s="906"/>
      <c r="J255" s="906"/>
      <c r="K255" s="953"/>
      <c r="L255" s="953"/>
      <c r="M255" s="529"/>
      <c r="N255" s="529"/>
      <c r="O255" s="529"/>
      <c r="P255" s="529"/>
      <c r="Q255" s="529"/>
      <c r="R255" s="529"/>
      <c r="S255" s="529"/>
      <c r="T255" s="529"/>
    </row>
    <row r="256" spans="1:21" customHeight="1" ht="12.95" s="9" customFormat="1">
      <c r="C256" s="29" t="s">
        <v>528</v>
      </c>
      <c r="D256" s="27"/>
      <c r="E256" s="27"/>
      <c r="F256" s="951"/>
      <c r="G256" s="238"/>
      <c r="H256" s="906"/>
      <c r="I256" s="906"/>
      <c r="J256" s="906"/>
      <c r="K256" s="953"/>
      <c r="L256" s="953"/>
      <c r="M256" s="529"/>
      <c r="N256" s="529"/>
      <c r="O256" s="529"/>
      <c r="P256" s="529"/>
      <c r="Q256" s="529"/>
      <c r="R256" s="529"/>
      <c r="S256" s="529"/>
      <c r="T256" s="529"/>
    </row>
    <row r="257" spans="1:21" customHeight="1" ht="12.95" s="9" customFormat="1">
      <c r="C257" s="37" t="s">
        <v>529</v>
      </c>
      <c r="D257" s="27"/>
      <c r="E257" s="27"/>
      <c r="F257" s="951"/>
      <c r="G257" s="238"/>
      <c r="H257" s="906"/>
      <c r="I257" s="906"/>
      <c r="J257" s="906"/>
      <c r="K257" s="953"/>
      <c r="L257" s="953">
        <v>1700000</v>
      </c>
      <c r="M257" s="529"/>
      <c r="N257" s="529"/>
      <c r="O257" s="529"/>
      <c r="P257" s="529"/>
      <c r="Q257" s="529"/>
      <c r="R257" s="529"/>
      <c r="S257" s="529"/>
      <c r="T257" s="529"/>
    </row>
    <row r="258" spans="1:21" customHeight="1" ht="12.95" s="9" customFormat="1">
      <c r="C258" s="29" t="s">
        <v>530</v>
      </c>
      <c r="D258" s="27"/>
      <c r="E258" s="27"/>
      <c r="F258" s="951"/>
      <c r="G258" s="238"/>
      <c r="H258" s="906"/>
      <c r="I258" s="906"/>
      <c r="J258" s="906"/>
      <c r="K258" s="953"/>
      <c r="L258" s="953"/>
      <c r="M258" s="529"/>
      <c r="N258" s="529"/>
      <c r="O258" s="529"/>
      <c r="P258" s="529"/>
      <c r="Q258" s="529"/>
      <c r="R258" s="529"/>
      <c r="S258" s="529"/>
      <c r="T258" s="529"/>
    </row>
    <row r="259" spans="1:21" customHeight="1" ht="12.95" s="9" customFormat="1">
      <c r="C259" s="29" t="s">
        <v>531</v>
      </c>
      <c r="D259" s="27"/>
      <c r="E259" s="27"/>
      <c r="F259" s="951"/>
      <c r="G259" s="238"/>
      <c r="H259" s="906"/>
      <c r="I259" s="906"/>
      <c r="J259" s="906"/>
      <c r="K259" s="953"/>
      <c r="L259" s="953"/>
      <c r="M259" s="529"/>
      <c r="N259" s="529"/>
      <c r="O259" s="529"/>
      <c r="P259" s="529"/>
      <c r="Q259" s="529"/>
      <c r="R259" s="529"/>
      <c r="S259" s="529"/>
      <c r="T259" s="529"/>
    </row>
    <row r="260" spans="1:21" customHeight="1" ht="12.95" s="9" customFormat="1">
      <c r="C260" s="29" t="s">
        <v>532</v>
      </c>
      <c r="D260" s="27"/>
      <c r="E260" s="27"/>
      <c r="F260" s="951"/>
      <c r="G260" s="238"/>
      <c r="H260" s="955">
        <v>0</v>
      </c>
      <c r="I260" s="955">
        <v>0</v>
      </c>
      <c r="J260" s="955">
        <v>0</v>
      </c>
      <c r="K260" s="965">
        <v>0</v>
      </c>
      <c r="L260" s="965">
        <v>0</v>
      </c>
      <c r="M260" s="529"/>
      <c r="N260" s="529"/>
      <c r="O260" s="529"/>
      <c r="P260" s="529"/>
      <c r="Q260" s="529"/>
      <c r="R260" s="529"/>
      <c r="S260" s="529"/>
      <c r="T260" s="529"/>
    </row>
    <row r="261" spans="1:21" customHeight="1" ht="12.95" s="968" customFormat="1">
      <c r="A261" s="956" t="s">
        <v>533</v>
      </c>
      <c r="B261" s="957"/>
      <c r="C261" s="957"/>
      <c r="D261" s="957"/>
      <c r="E261" s="957"/>
      <c r="F261" s="957"/>
      <c r="G261" s="966"/>
      <c r="H261" s="958">
        <f>SUM(H238:H260)</f>
        <v>0</v>
      </c>
      <c r="I261" s="958">
        <f>SUM(I238:I260)</f>
        <v>2527700</v>
      </c>
      <c r="J261" s="958">
        <f>SUM(J238:J260)</f>
        <v>7472300</v>
      </c>
      <c r="K261" s="958">
        <f>SUM(K238:K260)</f>
        <v>10000000</v>
      </c>
      <c r="L261" s="959">
        <f>SUM(L238:L260)</f>
        <v>10000000</v>
      </c>
      <c r="M261" s="967"/>
      <c r="N261" s="967"/>
      <c r="O261" s="967"/>
      <c r="P261" s="967"/>
      <c r="Q261" s="967"/>
      <c r="R261" s="967"/>
      <c r="S261" s="967"/>
      <c r="T261" s="967"/>
      <c r="U261" s="967"/>
    </row>
    <row r="262" spans="1:21" customHeight="1" ht="9.75" s="9" customFormat="1">
      <c r="C262" s="27"/>
      <c r="D262" s="27"/>
      <c r="E262" s="27"/>
      <c r="F262" s="951"/>
      <c r="G262" s="238"/>
      <c r="H262" s="238"/>
      <c r="I262" s="238"/>
      <c r="J262" s="238"/>
      <c r="K262" s="949"/>
      <c r="L262" s="952"/>
      <c r="M262" s="529"/>
      <c r="N262" s="529"/>
      <c r="O262" s="529"/>
      <c r="P262" s="529"/>
      <c r="Q262" s="529"/>
      <c r="R262" s="529"/>
      <c r="S262" s="529"/>
      <c r="T262" s="529"/>
      <c r="U262" s="529"/>
    </row>
    <row r="263" spans="1:21" customHeight="1" ht="17.1" s="9" customFormat="1">
      <c r="A263" s="948" t="s">
        <v>534</v>
      </c>
      <c r="B263" s="15"/>
      <c r="C263" s="15"/>
      <c r="D263" s="15"/>
      <c r="E263" s="15"/>
      <c r="F263" s="15"/>
      <c r="G263" s="213"/>
      <c r="H263" s="949"/>
      <c r="I263" s="949"/>
      <c r="J263" s="949"/>
      <c r="K263" s="949"/>
      <c r="L263" s="952"/>
      <c r="M263" s="529"/>
      <c r="N263" s="529"/>
      <c r="O263" s="529"/>
      <c r="P263" s="529"/>
      <c r="Q263" s="529"/>
      <c r="R263" s="529"/>
      <c r="S263" s="529"/>
      <c r="T263" s="529"/>
      <c r="U263" s="529"/>
    </row>
    <row r="264" spans="1:21" customHeight="1" ht="17.1" s="9" customFormat="1">
      <c r="A264" s="950" t="s">
        <v>213</v>
      </c>
      <c r="B264" s="15"/>
      <c r="C264" s="15"/>
      <c r="D264" s="15"/>
      <c r="E264" s="15"/>
      <c r="F264" s="15"/>
      <c r="G264" s="213"/>
      <c r="H264" s="949"/>
      <c r="I264" s="949"/>
      <c r="J264" s="949"/>
      <c r="K264" s="949"/>
      <c r="L264" s="952"/>
      <c r="M264" s="529"/>
      <c r="N264" s="529"/>
      <c r="O264" s="529"/>
      <c r="P264" s="529"/>
      <c r="Q264" s="529"/>
      <c r="R264" s="529"/>
      <c r="S264" s="529"/>
      <c r="T264" s="529"/>
      <c r="U264" s="529"/>
    </row>
    <row r="265" spans="1:21" customHeight="1" ht="17.1" s="9" customFormat="1">
      <c r="B265" s="9" t="s">
        <v>142</v>
      </c>
      <c r="C265" s="27"/>
      <c r="D265" s="27"/>
      <c r="E265" s="27"/>
      <c r="F265" s="951"/>
      <c r="G265" s="238" t="s">
        <v>143</v>
      </c>
      <c r="H265" s="949"/>
      <c r="I265" s="949"/>
      <c r="J265" s="949"/>
      <c r="K265" s="949"/>
      <c r="L265" s="952"/>
      <c r="M265" s="529"/>
      <c r="N265" s="529"/>
      <c r="O265" s="529"/>
      <c r="P265" s="529"/>
      <c r="Q265" s="529"/>
      <c r="R265" s="529"/>
      <c r="S265" s="529"/>
      <c r="T265" s="529"/>
      <c r="U265" s="529"/>
    </row>
    <row r="266" spans="1:21" customHeight="1" ht="17.1" s="9" customFormat="1">
      <c r="C266" s="37" t="s">
        <v>535</v>
      </c>
      <c r="D266" s="27"/>
      <c r="E266" s="27"/>
      <c r="F266" s="951"/>
      <c r="G266" s="238"/>
      <c r="H266" s="954">
        <v>0</v>
      </c>
      <c r="I266" s="955">
        <v>0</v>
      </c>
      <c r="J266" s="955">
        <f>K266-I266</f>
        <v>300000</v>
      </c>
      <c r="K266" s="965">
        <v>300000</v>
      </c>
      <c r="L266" s="965">
        <v>300000</v>
      </c>
      <c r="M266" s="529"/>
      <c r="N266" s="529"/>
      <c r="O266" s="529"/>
      <c r="P266" s="529"/>
      <c r="Q266" s="529"/>
      <c r="R266" s="529"/>
      <c r="S266" s="529"/>
      <c r="T266" s="529"/>
      <c r="U266" s="529"/>
    </row>
    <row r="267" spans="1:21" customHeight="1" ht="17.1" s="968" customFormat="1">
      <c r="A267" s="956" t="s">
        <v>536</v>
      </c>
      <c r="B267" s="957"/>
      <c r="C267" s="957"/>
      <c r="D267" s="957"/>
      <c r="E267" s="957"/>
      <c r="F267" s="957"/>
      <c r="G267" s="966"/>
      <c r="H267" s="958">
        <f>SUM(H264:H266)</f>
        <v>0</v>
      </c>
      <c r="I267" s="958">
        <f>SUM(I264:I266)</f>
        <v>0</v>
      </c>
      <c r="J267" s="958">
        <f>SUM(J264:J266)</f>
        <v>300000</v>
      </c>
      <c r="K267" s="958">
        <f>SUM(K264:K266)</f>
        <v>300000</v>
      </c>
      <c r="L267" s="959">
        <f>SUM(L264:L266)</f>
        <v>300000</v>
      </c>
      <c r="M267" s="967"/>
      <c r="N267" s="967"/>
      <c r="O267" s="967"/>
      <c r="P267" s="967"/>
      <c r="Q267" s="967"/>
      <c r="R267" s="967"/>
      <c r="S267" s="967"/>
      <c r="T267" s="967"/>
      <c r="U267" s="967"/>
    </row>
    <row r="268" spans="1:21" customHeight="1" ht="17.1" s="9" customFormat="1">
      <c r="C268" s="27"/>
      <c r="D268" s="27"/>
      <c r="E268" s="27"/>
      <c r="F268" s="951"/>
      <c r="G268" s="238"/>
      <c r="H268" s="238"/>
      <c r="I268" s="238"/>
      <c r="J268" s="238"/>
      <c r="K268" s="949"/>
      <c r="L268" s="952"/>
      <c r="M268" s="529"/>
      <c r="N268" s="529"/>
      <c r="O268" s="529"/>
      <c r="P268" s="529"/>
      <c r="Q268" s="529"/>
      <c r="R268" s="529"/>
      <c r="S268" s="529"/>
      <c r="T268" s="529"/>
      <c r="U268" s="529"/>
    </row>
    <row r="269" spans="1:21" customHeight="1" ht="17.1" s="9" customFormat="1">
      <c r="A269" s="948" t="s">
        <v>537</v>
      </c>
      <c r="B269" s="15"/>
      <c r="C269" s="15"/>
      <c r="D269" s="15"/>
      <c r="E269" s="15"/>
      <c r="F269" s="15"/>
      <c r="G269" s="213"/>
      <c r="H269" s="949"/>
      <c r="I269" s="949"/>
      <c r="J269" s="949"/>
      <c r="K269" s="949"/>
      <c r="L269" s="952"/>
      <c r="M269" s="529"/>
      <c r="N269" s="529"/>
      <c r="O269" s="529"/>
      <c r="P269" s="529"/>
      <c r="Q269" s="529"/>
      <c r="R269" s="529"/>
      <c r="S269" s="529"/>
      <c r="T269" s="529"/>
      <c r="U269" s="529"/>
    </row>
    <row r="270" spans="1:21" customHeight="1" ht="17.1" s="9" customFormat="1">
      <c r="A270" s="950" t="s">
        <v>213</v>
      </c>
      <c r="B270" s="15"/>
      <c r="C270" s="15"/>
      <c r="D270" s="15"/>
      <c r="E270" s="15"/>
      <c r="F270" s="15"/>
      <c r="G270" s="213"/>
      <c r="H270" s="949"/>
      <c r="I270" s="949"/>
      <c r="J270" s="949"/>
      <c r="K270" s="949"/>
      <c r="L270" s="952"/>
      <c r="M270" s="529"/>
      <c r="N270" s="529"/>
      <c r="O270" s="529"/>
      <c r="P270" s="529"/>
      <c r="Q270" s="529"/>
      <c r="R270" s="529"/>
      <c r="S270" s="529"/>
      <c r="T270" s="529"/>
      <c r="U270" s="529"/>
    </row>
    <row r="271" spans="1:21" customHeight="1" ht="17.1" s="9" customFormat="1">
      <c r="B271" s="9" t="s">
        <v>142</v>
      </c>
      <c r="C271" s="27"/>
      <c r="D271" s="27"/>
      <c r="E271" s="27"/>
      <c r="F271" s="951"/>
      <c r="G271" s="238" t="s">
        <v>143</v>
      </c>
      <c r="H271" s="949"/>
      <c r="I271" s="949"/>
      <c r="J271" s="949"/>
      <c r="K271" s="949"/>
      <c r="L271" s="952"/>
      <c r="M271" s="529"/>
      <c r="N271" s="529"/>
      <c r="O271" s="529"/>
      <c r="P271" s="529"/>
      <c r="Q271" s="529"/>
      <c r="R271" s="529"/>
      <c r="S271" s="529"/>
      <c r="T271" s="529"/>
      <c r="U271" s="529"/>
    </row>
    <row r="272" spans="1:21" customHeight="1" ht="17.1" s="9" customFormat="1">
      <c r="C272" s="37" t="s">
        <v>538</v>
      </c>
      <c r="D272" s="27"/>
      <c r="E272" s="27"/>
      <c r="F272" s="951"/>
      <c r="G272" s="238"/>
      <c r="H272" s="954">
        <v>0</v>
      </c>
      <c r="I272" s="955">
        <v>118385</v>
      </c>
      <c r="J272" s="955">
        <f>K272-I272</f>
        <v>181615</v>
      </c>
      <c r="K272" s="965">
        <v>300000</v>
      </c>
      <c r="L272" s="965">
        <v>300000</v>
      </c>
      <c r="M272" s="529"/>
      <c r="N272" s="529"/>
      <c r="O272" s="529"/>
      <c r="P272" s="529"/>
      <c r="Q272" s="529"/>
      <c r="R272" s="529"/>
      <c r="S272" s="529"/>
      <c r="T272" s="529"/>
      <c r="U272" s="529"/>
    </row>
    <row r="273" spans="1:21" customHeight="1" ht="17.1" s="968" customFormat="1">
      <c r="A273" s="956" t="s">
        <v>539</v>
      </c>
      <c r="B273" s="957"/>
      <c r="C273" s="957"/>
      <c r="D273" s="957"/>
      <c r="E273" s="957"/>
      <c r="F273" s="957"/>
      <c r="G273" s="966"/>
      <c r="H273" s="958">
        <f>SUM(H270:H272)</f>
        <v>0</v>
      </c>
      <c r="I273" s="958">
        <f>SUM(I270:I272)</f>
        <v>118385</v>
      </c>
      <c r="J273" s="958">
        <f>SUM(J270:J272)</f>
        <v>181615</v>
      </c>
      <c r="K273" s="958">
        <f>SUM(K270:K272)</f>
        <v>300000</v>
      </c>
      <c r="L273" s="959">
        <f>SUM(L270:L272)</f>
        <v>300000</v>
      </c>
      <c r="M273" s="967"/>
      <c r="N273" s="967"/>
      <c r="O273" s="967"/>
      <c r="P273" s="967"/>
      <c r="Q273" s="967"/>
      <c r="R273" s="967"/>
      <c r="S273" s="967"/>
      <c r="T273" s="967"/>
      <c r="U273" s="967"/>
    </row>
    <row r="274" spans="1:21" customHeight="1" ht="17.1" s="9" customFormat="1">
      <c r="C274" s="27"/>
      <c r="D274" s="27"/>
      <c r="E274" s="27"/>
      <c r="F274" s="951"/>
      <c r="G274" s="238"/>
      <c r="H274" s="238"/>
      <c r="I274" s="238"/>
      <c r="J274" s="238"/>
      <c r="K274" s="949"/>
      <c r="L274" s="952"/>
      <c r="M274" s="529"/>
      <c r="N274" s="529"/>
      <c r="O274" s="529"/>
      <c r="P274" s="529"/>
      <c r="Q274" s="529"/>
      <c r="R274" s="529"/>
      <c r="S274" s="529"/>
      <c r="T274" s="529"/>
      <c r="U274" s="529"/>
    </row>
    <row r="275" spans="1:21" customHeight="1" ht="17.1" s="9" customFormat="1">
      <c r="A275" s="948" t="s">
        <v>540</v>
      </c>
      <c r="B275" s="15"/>
      <c r="C275" s="15"/>
      <c r="D275" s="15"/>
      <c r="E275" s="15"/>
      <c r="F275" s="15"/>
      <c r="G275" s="213"/>
      <c r="H275" s="949"/>
      <c r="I275" s="949"/>
      <c r="J275" s="949"/>
      <c r="K275" s="949"/>
      <c r="L275" s="952"/>
      <c r="M275" s="529"/>
      <c r="N275" s="529"/>
      <c r="O275" s="529"/>
      <c r="P275" s="529"/>
      <c r="Q275" s="529"/>
      <c r="R275" s="529"/>
      <c r="S275" s="529"/>
      <c r="T275" s="529"/>
      <c r="U275" s="529"/>
    </row>
    <row r="276" spans="1:21" customHeight="1" ht="17.1" s="9" customFormat="1">
      <c r="A276" s="950" t="s">
        <v>213</v>
      </c>
      <c r="B276" s="15"/>
      <c r="C276" s="15"/>
      <c r="D276" s="15"/>
      <c r="E276" s="15"/>
      <c r="F276" s="15"/>
      <c r="G276" s="213"/>
      <c r="H276" s="949"/>
      <c r="I276" s="949"/>
      <c r="J276" s="949"/>
      <c r="K276" s="949"/>
      <c r="L276" s="952"/>
      <c r="M276" s="529"/>
      <c r="N276" s="529"/>
      <c r="O276" s="529"/>
      <c r="P276" s="529"/>
      <c r="Q276" s="529"/>
      <c r="R276" s="529"/>
      <c r="S276" s="529"/>
      <c r="T276" s="529"/>
      <c r="U276" s="529"/>
    </row>
    <row r="277" spans="1:21" customHeight="1" ht="17.1" s="9" customFormat="1">
      <c r="B277" s="9" t="s">
        <v>142</v>
      </c>
      <c r="C277" s="27"/>
      <c r="D277" s="27"/>
      <c r="E277" s="27"/>
      <c r="F277" s="951"/>
      <c r="G277" s="238" t="s">
        <v>143</v>
      </c>
      <c r="H277" s="949"/>
      <c r="I277" s="949"/>
      <c r="J277" s="949"/>
      <c r="K277" s="949"/>
      <c r="L277" s="952"/>
      <c r="M277" s="529"/>
      <c r="N277" s="529"/>
      <c r="O277" s="529"/>
      <c r="P277" s="529"/>
      <c r="Q277" s="529"/>
      <c r="R277" s="529"/>
      <c r="S277" s="529"/>
      <c r="T277" s="529"/>
      <c r="U277" s="529"/>
    </row>
    <row r="278" spans="1:21" customHeight="1" ht="17.1" s="9" customFormat="1">
      <c r="C278" s="37" t="s">
        <v>541</v>
      </c>
      <c r="D278" s="27"/>
      <c r="E278" s="27"/>
      <c r="F278" s="951"/>
      <c r="G278" s="238"/>
      <c r="H278" s="953">
        <v>0</v>
      </c>
      <c r="I278" s="953">
        <v>0</v>
      </c>
      <c r="J278" s="952">
        <f>K278-I278</f>
        <v>200000</v>
      </c>
      <c r="K278" s="953">
        <v>200000</v>
      </c>
      <c r="L278" s="953">
        <v>200000</v>
      </c>
      <c r="M278" s="529"/>
      <c r="N278" s="529"/>
      <c r="O278" s="529"/>
      <c r="P278" s="529"/>
      <c r="Q278" s="529"/>
      <c r="R278" s="529"/>
      <c r="S278" s="529"/>
      <c r="T278" s="529"/>
      <c r="U278" s="529"/>
    </row>
    <row r="279" spans="1:21" customHeight="1" ht="17.1" s="9" customFormat="1">
      <c r="C279" s="29" t="s">
        <v>542</v>
      </c>
      <c r="D279" s="27"/>
      <c r="E279" s="27"/>
      <c r="F279" s="951"/>
      <c r="G279" s="238"/>
      <c r="H279" s="954">
        <v>0</v>
      </c>
      <c r="I279" s="954">
        <v>0</v>
      </c>
      <c r="J279" s="954">
        <v>0</v>
      </c>
      <c r="K279" s="954">
        <v>0</v>
      </c>
      <c r="L279" s="955">
        <v>0</v>
      </c>
      <c r="M279" s="529"/>
      <c r="N279" s="529"/>
      <c r="O279" s="529"/>
      <c r="P279" s="529"/>
      <c r="Q279" s="529"/>
      <c r="R279" s="529"/>
      <c r="S279" s="529"/>
      <c r="T279" s="529"/>
      <c r="U279" s="529"/>
    </row>
    <row r="280" spans="1:21" customHeight="1" ht="17.1" s="968" customFormat="1">
      <c r="A280" s="956" t="s">
        <v>543</v>
      </c>
      <c r="B280" s="957"/>
      <c r="C280" s="957"/>
      <c r="D280" s="957"/>
      <c r="E280" s="957"/>
      <c r="F280" s="957"/>
      <c r="G280" s="966"/>
      <c r="H280" s="958">
        <f>SUM(H277:H279)</f>
        <v>0</v>
      </c>
      <c r="I280" s="958">
        <f>SUM(I277:I279)</f>
        <v>0</v>
      </c>
      <c r="J280" s="958">
        <f>SUM(J277:J279)</f>
        <v>200000</v>
      </c>
      <c r="K280" s="958">
        <f>SUM(K277:K279)</f>
        <v>200000</v>
      </c>
      <c r="L280" s="959">
        <f>SUM(L277:L279)</f>
        <v>200000</v>
      </c>
      <c r="M280" s="967"/>
      <c r="N280" s="967"/>
      <c r="O280" s="967"/>
      <c r="P280" s="967"/>
      <c r="Q280" s="967"/>
      <c r="R280" s="967"/>
      <c r="S280" s="967"/>
      <c r="T280" s="967"/>
      <c r="U280" s="967"/>
    </row>
    <row r="281" spans="1:21" customHeight="1" ht="17.1" s="9" customFormat="1">
      <c r="A281" s="73"/>
      <c r="B281" s="73"/>
      <c r="C281" s="961"/>
      <c r="D281" s="961"/>
      <c r="E281" s="961"/>
      <c r="F281" s="962"/>
      <c r="G281" s="572"/>
      <c r="H281" s="572"/>
      <c r="I281" s="572"/>
      <c r="J281" s="572"/>
      <c r="K281" s="963"/>
      <c r="L281" s="964"/>
      <c r="M281" s="529"/>
      <c r="N281" s="529"/>
      <c r="O281" s="529"/>
      <c r="P281" s="529"/>
      <c r="Q281" s="529"/>
      <c r="R281" s="529"/>
      <c r="S281" s="529"/>
      <c r="T281" s="529"/>
      <c r="U281" s="529"/>
    </row>
    <row r="282" spans="1:21" customHeight="1" ht="17.1" s="9" customFormat="1">
      <c r="C282" s="27"/>
      <c r="D282" s="27"/>
      <c r="E282" s="27"/>
      <c r="F282" s="951"/>
      <c r="G282" s="238"/>
      <c r="H282" s="238"/>
      <c r="I282" s="238"/>
      <c r="J282" s="238"/>
      <c r="K282" s="949"/>
      <c r="L282" s="952"/>
      <c r="M282" s="529"/>
      <c r="N282" s="529"/>
      <c r="O282" s="529"/>
      <c r="P282" s="529"/>
      <c r="Q282" s="529"/>
      <c r="R282" s="529"/>
      <c r="S282" s="529"/>
      <c r="T282" s="529"/>
      <c r="U282" s="529"/>
    </row>
    <row r="283" spans="1:21" customHeight="1" ht="17.1" s="9" customFormat="1">
      <c r="A283" s="948" t="s">
        <v>544</v>
      </c>
      <c r="B283" s="15"/>
      <c r="C283" s="15"/>
      <c r="D283" s="15"/>
      <c r="E283" s="15"/>
      <c r="F283" s="15"/>
      <c r="G283" s="213"/>
      <c r="H283" s="949"/>
      <c r="I283" s="949"/>
      <c r="J283" s="949"/>
      <c r="K283" s="949"/>
      <c r="L283" s="952"/>
      <c r="M283" s="529"/>
      <c r="N283" s="529"/>
      <c r="O283" s="529"/>
      <c r="P283" s="529"/>
      <c r="Q283" s="529"/>
      <c r="R283" s="529"/>
      <c r="S283" s="529"/>
      <c r="T283" s="529"/>
      <c r="U283" s="529"/>
    </row>
    <row r="284" spans="1:21" customHeight="1" ht="17.1" s="9" customFormat="1">
      <c r="A284" s="950" t="s">
        <v>213</v>
      </c>
      <c r="B284" s="15"/>
      <c r="C284" s="15"/>
      <c r="D284" s="15"/>
      <c r="E284" s="15"/>
      <c r="F284" s="15"/>
      <c r="G284" s="213"/>
      <c r="H284" s="949"/>
      <c r="I284" s="949"/>
      <c r="J284" s="949"/>
      <c r="K284" s="949"/>
      <c r="L284" s="952"/>
      <c r="M284" s="529"/>
      <c r="N284" s="529"/>
      <c r="O284" s="529"/>
      <c r="P284" s="529"/>
      <c r="Q284" s="529"/>
      <c r="R284" s="529"/>
      <c r="S284" s="529"/>
      <c r="T284" s="529"/>
      <c r="U284" s="529"/>
    </row>
    <row r="285" spans="1:21" customHeight="1" ht="17.1" s="9" customFormat="1">
      <c r="B285" s="9" t="s">
        <v>142</v>
      </c>
      <c r="C285" s="27"/>
      <c r="D285" s="27"/>
      <c r="E285" s="27"/>
      <c r="F285" s="951"/>
      <c r="G285" s="238" t="s">
        <v>143</v>
      </c>
      <c r="H285" s="949"/>
      <c r="I285" s="949"/>
      <c r="J285" s="949"/>
      <c r="K285" s="949"/>
      <c r="L285" s="952"/>
      <c r="M285" s="529"/>
      <c r="N285" s="529"/>
      <c r="O285" s="529"/>
      <c r="P285" s="529"/>
      <c r="Q285" s="529"/>
      <c r="R285" s="529"/>
      <c r="S285" s="529"/>
      <c r="T285" s="529"/>
      <c r="U285" s="529"/>
    </row>
    <row r="286" spans="1:21" customHeight="1" ht="17.1" s="9" customFormat="1">
      <c r="C286" s="37" t="s">
        <v>545</v>
      </c>
      <c r="D286" s="27"/>
      <c r="E286" s="27"/>
      <c r="F286" s="951"/>
      <c r="G286" s="238"/>
      <c r="H286" s="953"/>
      <c r="I286" s="953"/>
      <c r="J286" s="952">
        <f>K286-I286</f>
        <v>100000</v>
      </c>
      <c r="K286" s="953">
        <v>100000</v>
      </c>
      <c r="L286" s="953">
        <v>100000</v>
      </c>
      <c r="M286" s="529"/>
      <c r="N286" s="529"/>
      <c r="O286" s="529"/>
      <c r="P286" s="529"/>
      <c r="Q286" s="529"/>
      <c r="R286" s="529"/>
      <c r="S286" s="529"/>
      <c r="T286" s="529"/>
      <c r="U286" s="529"/>
    </row>
    <row r="287" spans="1:21" customHeight="1" ht="17.1" s="9" customFormat="1">
      <c r="C287" s="29" t="s">
        <v>546</v>
      </c>
      <c r="D287" s="27"/>
      <c r="E287" s="27"/>
      <c r="F287" s="951"/>
      <c r="G287" s="238"/>
      <c r="H287" s="954">
        <v>0</v>
      </c>
      <c r="I287" s="954">
        <v>0</v>
      </c>
      <c r="J287" s="954">
        <v>0</v>
      </c>
      <c r="K287" s="955">
        <v>0</v>
      </c>
      <c r="L287" s="955">
        <v>0</v>
      </c>
      <c r="M287" s="529"/>
      <c r="N287" s="529"/>
      <c r="O287" s="529"/>
      <c r="P287" s="529"/>
      <c r="Q287" s="529"/>
      <c r="R287" s="529"/>
      <c r="S287" s="529"/>
      <c r="T287" s="529"/>
      <c r="U287" s="529"/>
    </row>
    <row r="288" spans="1:21" customHeight="1" ht="17.1" s="968" customFormat="1">
      <c r="A288" s="956" t="s">
        <v>547</v>
      </c>
      <c r="B288" s="957"/>
      <c r="C288" s="957"/>
      <c r="D288" s="957"/>
      <c r="E288" s="957"/>
      <c r="F288" s="957"/>
      <c r="G288" s="966"/>
      <c r="H288" s="958">
        <f>SUM(H285:H287)</f>
        <v>0</v>
      </c>
      <c r="I288" s="958">
        <f>SUM(I285:I287)</f>
        <v>0</v>
      </c>
      <c r="J288" s="958">
        <f>SUM(J285:J287)</f>
        <v>100000</v>
      </c>
      <c r="K288" s="958">
        <f>SUM(K285:K287)</f>
        <v>100000</v>
      </c>
      <c r="L288" s="959">
        <f>SUM(L285:L287)</f>
        <v>100000</v>
      </c>
      <c r="M288" s="967"/>
      <c r="N288" s="967"/>
      <c r="O288" s="967"/>
      <c r="P288" s="967"/>
      <c r="Q288" s="967"/>
      <c r="R288" s="967"/>
      <c r="S288" s="967"/>
      <c r="T288" s="967"/>
      <c r="U288" s="967"/>
    </row>
    <row r="289" spans="1:21" customHeight="1" ht="17.1" s="9" customFormat="1">
      <c r="C289" s="27"/>
      <c r="D289" s="27"/>
      <c r="E289" s="27"/>
      <c r="F289" s="951"/>
      <c r="G289" s="238"/>
      <c r="H289" s="238"/>
      <c r="I289" s="238"/>
      <c r="J289" s="238"/>
      <c r="K289" s="949"/>
      <c r="L289" s="952"/>
      <c r="M289" s="529"/>
      <c r="N289" s="529"/>
      <c r="O289" s="529"/>
      <c r="P289" s="529"/>
      <c r="Q289" s="529"/>
      <c r="R289" s="529"/>
      <c r="S289" s="529"/>
      <c r="T289" s="529"/>
      <c r="U289" s="529"/>
    </row>
    <row r="290" spans="1:21" customHeight="1" ht="17.1" s="9" customFormat="1">
      <c r="A290" s="948" t="s">
        <v>548</v>
      </c>
      <c r="B290" s="15"/>
      <c r="C290" s="15"/>
      <c r="D290" s="15"/>
      <c r="E290" s="15"/>
      <c r="F290" s="15"/>
      <c r="G290" s="213"/>
      <c r="H290" s="949"/>
      <c r="I290" s="949"/>
      <c r="J290" s="949"/>
      <c r="K290" s="949"/>
      <c r="L290" s="952"/>
      <c r="M290" s="529"/>
      <c r="N290" s="529"/>
      <c r="O290" s="529"/>
      <c r="P290" s="529"/>
      <c r="Q290" s="529"/>
      <c r="R290" s="529"/>
      <c r="S290" s="529"/>
      <c r="T290" s="529"/>
      <c r="U290" s="529"/>
    </row>
    <row r="291" spans="1:21" customHeight="1" ht="17.1" s="9" customFormat="1">
      <c r="A291" s="950" t="s">
        <v>213</v>
      </c>
      <c r="B291" s="15"/>
      <c r="C291" s="15"/>
      <c r="D291" s="15"/>
      <c r="E291" s="15"/>
      <c r="F291" s="15"/>
      <c r="G291" s="213"/>
      <c r="H291" s="949"/>
      <c r="I291" s="949"/>
      <c r="J291" s="949"/>
      <c r="K291" s="949"/>
      <c r="L291" s="952"/>
      <c r="M291" s="529"/>
      <c r="N291" s="529"/>
      <c r="O291" s="529"/>
      <c r="P291" s="529"/>
      <c r="Q291" s="529"/>
      <c r="R291" s="529"/>
      <c r="S291" s="529"/>
      <c r="T291" s="529"/>
      <c r="U291" s="529"/>
    </row>
    <row r="292" spans="1:21" customHeight="1" ht="17.1" s="9" customFormat="1">
      <c r="B292" s="9" t="s">
        <v>142</v>
      </c>
      <c r="C292" s="27"/>
      <c r="D292" s="27"/>
      <c r="E292" s="27"/>
      <c r="F292" s="951"/>
      <c r="G292" s="238" t="s">
        <v>143</v>
      </c>
      <c r="H292" s="954">
        <v>0</v>
      </c>
      <c r="I292" s="955">
        <v>0</v>
      </c>
      <c r="J292" s="955">
        <f>K292-I292</f>
        <v>200000</v>
      </c>
      <c r="K292" s="955">
        <v>200000</v>
      </c>
      <c r="L292" s="955">
        <v>200000</v>
      </c>
      <c r="M292" s="529"/>
      <c r="N292" s="529"/>
      <c r="O292" s="529"/>
      <c r="P292" s="529"/>
      <c r="Q292" s="529"/>
      <c r="R292" s="529"/>
      <c r="S292" s="529"/>
      <c r="T292" s="529"/>
      <c r="U292" s="529"/>
    </row>
    <row r="293" spans="1:21" customHeight="1" ht="17.1" s="968" customFormat="1">
      <c r="A293" s="956" t="s">
        <v>549</v>
      </c>
      <c r="B293" s="957"/>
      <c r="C293" s="957"/>
      <c r="D293" s="957"/>
      <c r="E293" s="957"/>
      <c r="F293" s="957"/>
      <c r="G293" s="966"/>
      <c r="H293" s="958">
        <f>SUM(H291:H292)</f>
        <v>0</v>
      </c>
      <c r="I293" s="958">
        <f>SUM(I291:I292)</f>
        <v>0</v>
      </c>
      <c r="J293" s="958">
        <f>SUM(J291:J292)</f>
        <v>200000</v>
      </c>
      <c r="K293" s="958">
        <f>SUM(K291:K292)</f>
        <v>200000</v>
      </c>
      <c r="L293" s="959">
        <f>SUM(L291:L292)</f>
        <v>200000</v>
      </c>
      <c r="M293" s="967"/>
      <c r="N293" s="967"/>
      <c r="O293" s="967"/>
      <c r="P293" s="967"/>
      <c r="Q293" s="967"/>
      <c r="R293" s="967"/>
      <c r="S293" s="967"/>
      <c r="T293" s="967"/>
      <c r="U293" s="967"/>
    </row>
    <row r="294" spans="1:21" customHeight="1" ht="17.1" s="22" customFormat="1">
      <c r="A294" s="21"/>
      <c r="B294" s="21"/>
      <c r="C294" s="21"/>
      <c r="D294" s="21"/>
      <c r="E294" s="21"/>
      <c r="F294" s="21"/>
      <c r="G294" s="181"/>
      <c r="H294" s="318"/>
      <c r="I294" s="318"/>
      <c r="J294" s="318"/>
      <c r="K294" s="318"/>
      <c r="L294" s="318"/>
      <c r="M294" s="522"/>
      <c r="N294" s="522"/>
      <c r="O294" s="522"/>
      <c r="P294" s="522"/>
      <c r="Q294" s="522"/>
      <c r="R294" s="522"/>
      <c r="S294" s="522"/>
      <c r="T294" s="522"/>
      <c r="U294" s="522"/>
    </row>
    <row r="295" spans="1:21" customHeight="1" ht="17.1" s="9" customFormat="1">
      <c r="A295" s="948" t="s">
        <v>550</v>
      </c>
      <c r="B295" s="15"/>
      <c r="C295" s="15"/>
      <c r="D295" s="15"/>
      <c r="E295" s="15"/>
      <c r="F295" s="15"/>
      <c r="G295" s="213"/>
      <c r="H295" s="949"/>
      <c r="I295" s="949"/>
      <c r="J295" s="949"/>
      <c r="K295" s="949"/>
      <c r="L295" s="952"/>
      <c r="M295" s="529"/>
      <c r="N295" s="529"/>
      <c r="O295" s="529"/>
      <c r="P295" s="529"/>
      <c r="Q295" s="529"/>
      <c r="R295" s="529"/>
      <c r="S295" s="529"/>
      <c r="T295" s="529"/>
      <c r="U295" s="529"/>
    </row>
    <row r="296" spans="1:21" customHeight="1" ht="17.1" s="9" customFormat="1">
      <c r="A296" s="950" t="s">
        <v>213</v>
      </c>
      <c r="B296" s="15"/>
      <c r="C296" s="15"/>
      <c r="D296" s="15"/>
      <c r="E296" s="15"/>
      <c r="F296" s="15"/>
      <c r="G296" s="213"/>
      <c r="H296" s="949"/>
      <c r="I296" s="949"/>
      <c r="J296" s="949"/>
      <c r="K296" s="949"/>
      <c r="L296" s="952"/>
      <c r="M296" s="529"/>
      <c r="N296" s="529"/>
      <c r="O296" s="529"/>
      <c r="P296" s="529"/>
      <c r="Q296" s="529"/>
      <c r="R296" s="529"/>
      <c r="S296" s="529"/>
      <c r="T296" s="529"/>
      <c r="U296" s="529"/>
    </row>
    <row r="297" spans="1:21" customHeight="1" ht="17.1" s="9" customFormat="1">
      <c r="B297" s="9" t="s">
        <v>142</v>
      </c>
      <c r="C297" s="27"/>
      <c r="D297" s="27"/>
      <c r="E297" s="27"/>
      <c r="F297" s="951"/>
      <c r="G297" s="238" t="s">
        <v>143</v>
      </c>
      <c r="H297" s="954">
        <v>0</v>
      </c>
      <c r="I297" s="955">
        <v>305056</v>
      </c>
      <c r="J297" s="955">
        <f>K297-I297</f>
        <v>494944</v>
      </c>
      <c r="K297" s="955">
        <v>800000</v>
      </c>
      <c r="L297" s="955">
        <v>800000</v>
      </c>
      <c r="M297" s="529"/>
      <c r="N297" s="529"/>
      <c r="O297" s="529"/>
      <c r="P297" s="529"/>
      <c r="Q297" s="529"/>
      <c r="R297" s="529"/>
      <c r="S297" s="529"/>
      <c r="T297" s="529"/>
      <c r="U297" s="529"/>
    </row>
    <row r="298" spans="1:21" customHeight="1" ht="17.1" s="968" customFormat="1">
      <c r="A298" s="956" t="s">
        <v>551</v>
      </c>
      <c r="B298" s="957"/>
      <c r="C298" s="957"/>
      <c r="D298" s="957"/>
      <c r="E298" s="957"/>
      <c r="F298" s="957"/>
      <c r="G298" s="966"/>
      <c r="H298" s="958">
        <f>SUM(H296:H297)</f>
        <v>0</v>
      </c>
      <c r="I298" s="958">
        <f>SUM(I296:I297)</f>
        <v>305056</v>
      </c>
      <c r="J298" s="958">
        <f>SUM(J296:J297)</f>
        <v>494944</v>
      </c>
      <c r="K298" s="958">
        <f>SUM(K296:K297)</f>
        <v>800000</v>
      </c>
      <c r="L298" s="959">
        <f>SUM(L296:L297)</f>
        <v>800000</v>
      </c>
      <c r="M298" s="967"/>
      <c r="N298" s="967"/>
      <c r="O298" s="967"/>
      <c r="P298" s="967"/>
      <c r="Q298" s="967"/>
      <c r="R298" s="967"/>
      <c r="S298" s="967"/>
      <c r="T298" s="967"/>
      <c r="U298" s="967"/>
    </row>
    <row r="299" spans="1:21" customHeight="1" ht="17.1" s="9" customFormat="1">
      <c r="C299" s="344"/>
      <c r="D299" s="27"/>
      <c r="E299" s="27"/>
      <c r="F299" s="951"/>
      <c r="G299" s="238"/>
      <c r="H299" s="238"/>
      <c r="I299" s="238"/>
      <c r="J299" s="238"/>
      <c r="K299" s="983"/>
      <c r="L299" s="953"/>
      <c r="M299" s="529"/>
      <c r="N299" s="529"/>
      <c r="O299" s="529"/>
      <c r="P299" s="529"/>
      <c r="Q299" s="529"/>
      <c r="R299" s="529"/>
      <c r="S299" s="529"/>
      <c r="T299" s="529"/>
      <c r="U299" s="529"/>
    </row>
    <row r="300" spans="1:21" customHeight="1" ht="17.1" s="9" customFormat="1">
      <c r="A300" s="73"/>
      <c r="B300" s="73"/>
      <c r="C300" s="984"/>
      <c r="D300" s="961"/>
      <c r="E300" s="961"/>
      <c r="F300" s="962"/>
      <c r="G300" s="572"/>
      <c r="H300" s="572"/>
      <c r="I300" s="572"/>
      <c r="J300" s="572"/>
      <c r="K300" s="985"/>
      <c r="L300" s="986"/>
      <c r="M300" s="529"/>
      <c r="N300" s="529"/>
      <c r="O300" s="529"/>
      <c r="P300" s="529"/>
      <c r="Q300" s="529"/>
      <c r="R300" s="529"/>
      <c r="S300" s="529"/>
      <c r="T300" s="529"/>
      <c r="U300" s="529"/>
    </row>
    <row r="301" spans="1:21" customHeight="1" ht="15" s="9" customFormat="1">
      <c r="A301" s="948" t="s">
        <v>552</v>
      </c>
      <c r="B301" s="15"/>
      <c r="C301" s="15"/>
      <c r="D301" s="15"/>
      <c r="E301" s="15"/>
      <c r="F301" s="15"/>
      <c r="G301" s="213"/>
      <c r="H301" s="949"/>
      <c r="I301" s="949"/>
      <c r="J301" s="949"/>
      <c r="K301" s="949"/>
      <c r="L301" s="952"/>
      <c r="M301" s="529"/>
      <c r="N301" s="529"/>
      <c r="O301" s="529"/>
      <c r="P301" s="529"/>
      <c r="Q301" s="529"/>
      <c r="R301" s="529"/>
      <c r="S301" s="529"/>
      <c r="T301" s="529"/>
      <c r="U301" s="529"/>
    </row>
    <row r="302" spans="1:21" customHeight="1" ht="15" s="9" customFormat="1">
      <c r="A302" s="950" t="s">
        <v>213</v>
      </c>
      <c r="B302" s="15"/>
      <c r="C302" s="15"/>
      <c r="D302" s="15"/>
      <c r="E302" s="15"/>
      <c r="F302" s="15"/>
      <c r="G302" s="213"/>
      <c r="H302" s="949"/>
      <c r="I302" s="949"/>
      <c r="J302" s="949"/>
      <c r="K302" s="949"/>
      <c r="L302" s="952"/>
      <c r="M302" s="529"/>
      <c r="N302" s="529"/>
      <c r="O302" s="529"/>
      <c r="P302" s="529"/>
      <c r="Q302" s="529"/>
      <c r="R302" s="529"/>
      <c r="S302" s="529"/>
      <c r="T302" s="529"/>
      <c r="U302" s="529"/>
    </row>
    <row r="303" spans="1:21" customHeight="1" ht="15" s="9" customFormat="1">
      <c r="B303" s="9" t="s">
        <v>142</v>
      </c>
      <c r="C303" s="27"/>
      <c r="D303" s="27"/>
      <c r="E303" s="27"/>
      <c r="F303" s="951"/>
      <c r="G303" s="238" t="s">
        <v>143</v>
      </c>
      <c r="H303" s="954">
        <v>0</v>
      </c>
      <c r="I303" s="955">
        <v>47000</v>
      </c>
      <c r="J303" s="955">
        <f>K303-I303</f>
        <v>93000</v>
      </c>
      <c r="K303" s="955">
        <v>140000</v>
      </c>
      <c r="L303" s="955">
        <v>140000</v>
      </c>
      <c r="M303" s="529"/>
      <c r="N303" s="529"/>
      <c r="O303" s="529"/>
      <c r="P303" s="529"/>
      <c r="Q303" s="529"/>
      <c r="R303" s="529"/>
      <c r="S303" s="529"/>
      <c r="T303" s="529"/>
      <c r="U303" s="529"/>
    </row>
    <row r="304" spans="1:21" customHeight="1" ht="15" s="968" customFormat="1">
      <c r="A304" s="956" t="s">
        <v>553</v>
      </c>
      <c r="B304" s="957"/>
      <c r="C304" s="957"/>
      <c r="D304" s="957"/>
      <c r="E304" s="957"/>
      <c r="F304" s="957"/>
      <c r="G304" s="966"/>
      <c r="H304" s="958">
        <f>SUM(H302:H303)</f>
        <v>0</v>
      </c>
      <c r="I304" s="958">
        <f>SUM(I302:I303)</f>
        <v>47000</v>
      </c>
      <c r="J304" s="958">
        <f>SUM(J302:J303)</f>
        <v>93000</v>
      </c>
      <c r="K304" s="958">
        <f>SUM(K302:K303)</f>
        <v>140000</v>
      </c>
      <c r="L304" s="959">
        <f>SUM(L302:L303)</f>
        <v>140000</v>
      </c>
      <c r="M304" s="967"/>
      <c r="N304" s="967"/>
      <c r="O304" s="967"/>
      <c r="P304" s="967"/>
      <c r="Q304" s="967"/>
      <c r="R304" s="967"/>
      <c r="S304" s="967"/>
      <c r="T304" s="967"/>
      <c r="U304" s="967"/>
    </row>
    <row r="305" spans="1:21" customHeight="1" ht="15" s="9" customFormat="1">
      <c r="C305" s="344"/>
      <c r="D305" s="27"/>
      <c r="E305" s="27"/>
      <c r="F305" s="951"/>
      <c r="G305" s="238"/>
      <c r="H305" s="238"/>
      <c r="I305" s="238"/>
      <c r="J305" s="238"/>
      <c r="K305" s="983"/>
      <c r="L305" s="953"/>
      <c r="M305" s="529"/>
      <c r="N305" s="529"/>
      <c r="O305" s="529"/>
      <c r="P305" s="529"/>
      <c r="Q305" s="529"/>
      <c r="R305" s="529"/>
      <c r="S305" s="529"/>
      <c r="T305" s="529"/>
      <c r="U305" s="529"/>
    </row>
    <row r="306" spans="1:21" customHeight="1" ht="15" s="9" customFormat="1">
      <c r="A306" s="948" t="s">
        <v>554</v>
      </c>
      <c r="B306" s="15"/>
      <c r="C306" s="15"/>
      <c r="D306" s="15"/>
      <c r="E306" s="15"/>
      <c r="F306" s="15"/>
      <c r="G306" s="213"/>
      <c r="H306" s="949"/>
      <c r="I306" s="949"/>
      <c r="J306" s="949"/>
      <c r="K306" s="949"/>
      <c r="L306" s="952"/>
      <c r="M306" s="529"/>
      <c r="N306" s="529"/>
      <c r="O306" s="529"/>
      <c r="P306" s="529"/>
      <c r="Q306" s="529"/>
      <c r="R306" s="529"/>
      <c r="S306" s="529"/>
      <c r="T306" s="529"/>
      <c r="U306" s="529"/>
    </row>
    <row r="307" spans="1:21" customHeight="1" ht="15" s="9" customFormat="1">
      <c r="A307" s="950" t="s">
        <v>213</v>
      </c>
      <c r="B307" s="15"/>
      <c r="C307" s="15"/>
      <c r="D307" s="15"/>
      <c r="E307" s="15"/>
      <c r="F307" s="15"/>
      <c r="G307" s="213"/>
      <c r="H307" s="949"/>
      <c r="I307" s="949"/>
      <c r="J307" s="949"/>
      <c r="K307" s="949"/>
      <c r="L307" s="952"/>
      <c r="M307" s="529"/>
      <c r="N307" s="529"/>
      <c r="O307" s="529"/>
      <c r="P307" s="529"/>
      <c r="Q307" s="529"/>
      <c r="R307" s="529"/>
      <c r="S307" s="529"/>
      <c r="T307" s="529"/>
      <c r="U307" s="529"/>
    </row>
    <row r="308" spans="1:21" customHeight="1" ht="15" s="9" customFormat="1">
      <c r="B308" s="9" t="s">
        <v>142</v>
      </c>
      <c r="C308" s="27"/>
      <c r="D308" s="27"/>
      <c r="E308" s="27"/>
      <c r="F308" s="951"/>
      <c r="G308" s="238" t="s">
        <v>143</v>
      </c>
      <c r="H308" s="954">
        <v>0</v>
      </c>
      <c r="I308" s="955">
        <v>0</v>
      </c>
      <c r="J308" s="955">
        <f>K308-I308</f>
        <v>100000</v>
      </c>
      <c r="K308" s="955">
        <v>100000</v>
      </c>
      <c r="L308" s="955">
        <v>100000</v>
      </c>
      <c r="M308" s="529"/>
      <c r="N308" s="529"/>
      <c r="O308" s="529"/>
      <c r="P308" s="529"/>
      <c r="Q308" s="529"/>
      <c r="R308" s="529"/>
      <c r="S308" s="529"/>
      <c r="T308" s="529"/>
      <c r="U308" s="529"/>
    </row>
    <row r="309" spans="1:21" customHeight="1" ht="15" s="968" customFormat="1">
      <c r="A309" s="956" t="s">
        <v>555</v>
      </c>
      <c r="B309" s="957"/>
      <c r="C309" s="957"/>
      <c r="D309" s="957"/>
      <c r="E309" s="957"/>
      <c r="F309" s="957"/>
      <c r="G309" s="966"/>
      <c r="H309" s="958">
        <f>SUM(H307:H308)</f>
        <v>0</v>
      </c>
      <c r="I309" s="958">
        <f>SUM(I307:I308)</f>
        <v>0</v>
      </c>
      <c r="J309" s="958">
        <f>SUM(J307:J308)</f>
        <v>100000</v>
      </c>
      <c r="K309" s="958">
        <f>SUM(K307:K308)</f>
        <v>100000</v>
      </c>
      <c r="L309" s="959">
        <f>SUM(L307:L308)</f>
        <v>100000</v>
      </c>
      <c r="M309" s="967"/>
      <c r="N309" s="967"/>
      <c r="O309" s="967"/>
      <c r="P309" s="967"/>
      <c r="Q309" s="967"/>
      <c r="R309" s="967"/>
      <c r="S309" s="967"/>
      <c r="T309" s="967"/>
      <c r="U309" s="967"/>
    </row>
    <row r="310" spans="1:21" customHeight="1" ht="15" s="10" customFormat="1">
      <c r="A310" s="1500"/>
      <c r="B310" s="1501"/>
      <c r="C310" s="1501"/>
      <c r="D310" s="1502"/>
      <c r="E310" s="391"/>
      <c r="F310" s="660"/>
      <c r="G310" s="987"/>
      <c r="H310" s="987"/>
      <c r="I310" s="987"/>
      <c r="J310" s="987"/>
      <c r="K310" s="987"/>
      <c r="L310" s="600"/>
      <c r="M310" s="988"/>
      <c r="N310" s="988"/>
      <c r="O310" s="988"/>
      <c r="P310" s="989"/>
      <c r="Q310" s="989"/>
      <c r="R310" s="989"/>
      <c r="S310" s="989"/>
      <c r="T310" s="989"/>
      <c r="U310" s="989"/>
    </row>
    <row r="311" spans="1:21" customHeight="1" ht="15" s="550" customFormat="1">
      <c r="A311" s="956" t="s">
        <v>211</v>
      </c>
      <c r="B311" s="18"/>
      <c r="C311" s="18"/>
      <c r="D311" s="18"/>
      <c r="E311" s="18"/>
      <c r="F311" s="18"/>
      <c r="G311" s="219"/>
      <c r="H311" s="990">
        <f>H135+H142+H151+H158+H165+H172+H180+H187+H195+H212+H228+H234+H261+H267+H273+H280+H288+H293+H298+H304+H309</f>
        <v>0</v>
      </c>
      <c r="I311" s="990">
        <f>I135+I142+I151+I158+I165+I172+I180+I187+I195+I212+I228+I234+I261+I267+I273+I280+I288+I293+I298+I304+I309</f>
        <v>13279369.8</v>
      </c>
      <c r="J311" s="990">
        <f>J135+J142+J151+J158+J165+J172+J180+J187+J195+J212+J228+J234+J261+J267+J273+J280+J288+J293+J298+J304+J309</f>
        <v>20519560.2</v>
      </c>
      <c r="K311" s="990">
        <f>K135+K142+K151+K158+K165+K172+K180+K187+K195+K212+K228+K234+K261+K267+K273+K280+K288+K293+K298+K304+K309</f>
        <v>33798930</v>
      </c>
      <c r="L311" s="991">
        <f>L135+L142+L151+L158+L165+L172+L180+L187+L195+L212+L228+L234+L261+L267+L273+L280+L288+L293+L298+L304+L309</f>
        <v>33598930</v>
      </c>
      <c r="M311" s="590"/>
      <c r="N311" s="590"/>
      <c r="O311" s="590"/>
      <c r="P311" s="549"/>
      <c r="Q311" s="549"/>
      <c r="R311" s="549"/>
      <c r="S311" s="549"/>
      <c r="T311" s="549"/>
      <c r="U311" s="549"/>
    </row>
    <row r="312" spans="1:21" customHeight="1" ht="15">
      <c r="A312" s="992"/>
      <c r="B312" s="992"/>
      <c r="C312" s="992"/>
      <c r="D312" s="992"/>
      <c r="E312" s="992"/>
      <c r="F312" s="992"/>
      <c r="G312" s="993"/>
      <c r="H312" s="993"/>
      <c r="I312" s="993"/>
      <c r="J312" s="993"/>
      <c r="K312" s="993"/>
      <c r="L312" s="994"/>
      <c r="M312" s="553"/>
      <c r="N312" s="553"/>
      <c r="O312" s="553"/>
      <c r="P312" s="553"/>
      <c r="Q312" s="553"/>
      <c r="R312" s="553"/>
      <c r="S312" s="553"/>
      <c r="T312" s="553"/>
      <c r="U312" s="553"/>
    </row>
    <row r="313" spans="1:21" customHeight="1" ht="18" s="273" customFormat="1">
      <c r="A313" s="6"/>
      <c r="B313" s="6"/>
      <c r="G313" s="508"/>
      <c r="H313" s="508"/>
    </row>
    <row r="314" spans="1:21" customHeight="1" ht="18" s="9" customFormat="1">
      <c r="A314" s="9" t="s">
        <v>182</v>
      </c>
      <c r="I314" s="509"/>
      <c r="J314" s="509"/>
      <c r="K314" s="509"/>
      <c r="L314" s="509"/>
    </row>
    <row r="315" spans="1:21" customHeight="1" ht="18" s="9" customFormat="1">
      <c r="G315" s="510"/>
      <c r="H315" s="510"/>
      <c r="I315" s="510"/>
      <c r="J315" s="510"/>
      <c r="K315" s="510"/>
      <c r="L315" s="510"/>
    </row>
    <row r="316" spans="1:21" customHeight="1" ht="18" s="9" customFormat="1">
      <c r="A316" s="1493" t="s">
        <v>183</v>
      </c>
      <c r="B316" s="1493"/>
      <c r="C316" s="1493"/>
      <c r="D316" s="511"/>
      <c r="E316" s="511"/>
      <c r="F316" s="512" t="s">
        <v>184</v>
      </c>
      <c r="G316" s="509"/>
      <c r="H316" s="509"/>
      <c r="I316" s="509"/>
      <c r="J316" s="510" t="s">
        <v>185</v>
      </c>
      <c r="K316" s="1494"/>
      <c r="L316" s="1494"/>
    </row>
    <row r="317" spans="1:21" customHeight="1" ht="18" s="9" customFormat="1"/>
    <row r="318" spans="1:21" customHeight="1" ht="18" s="9" customFormat="1"/>
    <row r="319" spans="1:21" customHeight="1" ht="18" s="11" customFormat="1">
      <c r="A319" s="1489" t="s">
        <v>556</v>
      </c>
      <c r="B319" s="1489"/>
      <c r="C319" s="1489"/>
      <c r="D319" s="1489"/>
      <c r="E319" s="1489"/>
      <c r="F319" s="1489" t="s">
        <v>187</v>
      </c>
      <c r="G319" s="1489"/>
      <c r="H319" s="1489"/>
      <c r="I319" s="1489"/>
      <c r="J319" s="1489" t="s">
        <v>186</v>
      </c>
      <c r="K319" s="1489"/>
      <c r="L319" s="1489"/>
    </row>
    <row r="320" spans="1:21" customHeight="1" ht="12" s="11" customFormat="1">
      <c r="A320" s="1468" t="s">
        <v>189</v>
      </c>
      <c r="B320" s="1468"/>
      <c r="C320" s="1468"/>
      <c r="D320" s="1468"/>
      <c r="E320" s="1468"/>
      <c r="F320" s="1468" t="s">
        <v>189</v>
      </c>
      <c r="G320" s="1468"/>
      <c r="H320" s="1468"/>
      <c r="I320" s="1468"/>
      <c r="J320" s="1468" t="s">
        <v>188</v>
      </c>
      <c r="K320" s="1468"/>
      <c r="L320" s="1468"/>
    </row>
    <row r="321" spans="1:21" customHeight="1" ht="12" s="9" customFormat="1">
      <c r="A321" s="1468" t="s">
        <v>557</v>
      </c>
      <c r="B321" s="1468"/>
      <c r="C321" s="1468"/>
      <c r="D321" s="1468"/>
      <c r="E321" s="1468"/>
      <c r="F321" s="1468" t="s">
        <v>190</v>
      </c>
      <c r="G321" s="1468"/>
      <c r="H321" s="1468"/>
      <c r="I321" s="1468"/>
      <c r="J321" s="1468"/>
      <c r="K321" s="1468"/>
      <c r="L321" s="1468"/>
    </row>
    <row r="322" spans="1:21" customHeight="1" ht="1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L322" s="598"/>
      <c r="M322" s="553"/>
      <c r="N322" s="553"/>
      <c r="O322" s="553"/>
      <c r="P322" s="553"/>
      <c r="Q322" s="553"/>
      <c r="R322" s="553"/>
      <c r="S322" s="553"/>
      <c r="T322" s="553"/>
      <c r="U322" s="553"/>
    </row>
    <row r="323" spans="1:21" customHeight="1" ht="1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L323" s="598"/>
      <c r="M323" s="553"/>
      <c r="N323" s="553"/>
      <c r="O323" s="553"/>
      <c r="P323" s="553"/>
      <c r="Q323" s="553"/>
      <c r="R323" s="553"/>
      <c r="S323" s="553"/>
      <c r="T323" s="553"/>
      <c r="U323" s="553"/>
    </row>
    <row r="324" spans="1:21" customHeight="1" ht="15" s="11" customFormat="1">
      <c r="A324" s="342"/>
      <c r="B324" s="343"/>
      <c r="C324" s="342"/>
      <c r="D324" s="177"/>
      <c r="E324" s="177"/>
      <c r="F324" s="177"/>
      <c r="G324" s="344"/>
      <c r="H324" s="22"/>
      <c r="I324" s="22"/>
      <c r="J324" s="22"/>
      <c r="M324" s="817"/>
      <c r="N324" s="817"/>
      <c r="O324" s="817"/>
      <c r="P324" s="817"/>
      <c r="Q324" s="817"/>
      <c r="R324" s="817"/>
      <c r="S324" s="817"/>
      <c r="T324" s="817"/>
      <c r="U324" s="817"/>
    </row>
    <row r="325" spans="1:21" customHeight="1" ht="15">
      <c r="A325" s="9"/>
      <c r="B325" s="9"/>
      <c r="C325" s="9"/>
      <c r="D325" s="9"/>
      <c r="E325" s="9"/>
      <c r="F325" s="9"/>
      <c r="G325" s="9"/>
      <c r="H325" s="9"/>
      <c r="I325" s="387">
        <f>I311+I107</f>
        <v>53355305.22</v>
      </c>
      <c r="J325" s="387">
        <f>J311+J107</f>
        <v>71233757.98</v>
      </c>
      <c r="K325" s="387">
        <f>K311+K107</f>
        <v>124589063.2</v>
      </c>
      <c r="L325" s="995"/>
      <c r="M325" s="553"/>
      <c r="N325" s="553"/>
      <c r="O325" s="553"/>
      <c r="P325" s="553"/>
      <c r="Q325" s="553"/>
      <c r="R325" s="553"/>
      <c r="S325" s="553"/>
      <c r="T325" s="553"/>
      <c r="U325" s="553"/>
    </row>
    <row r="326" spans="1:21" customHeight="1" ht="16.5">
      <c r="A326" s="996"/>
      <c r="B326" s="4"/>
      <c r="C326" s="4"/>
      <c r="D326" s="9"/>
      <c r="E326" s="997"/>
      <c r="F326" s="997"/>
      <c r="G326" s="997"/>
      <c r="H326" s="997"/>
      <c r="I326" s="997"/>
      <c r="J326" s="997"/>
      <c r="K326" s="997"/>
      <c r="L326" s="997"/>
      <c r="M326" s="553"/>
      <c r="N326" s="553"/>
      <c r="O326" s="553"/>
      <c r="P326" s="553"/>
      <c r="Q326" s="553"/>
      <c r="R326" s="553"/>
      <c r="S326" s="553"/>
      <c r="T326" s="553"/>
      <c r="U326" s="553"/>
    </row>
    <row r="327" spans="1:21" customHeight="1" ht="84.75">
      <c r="A327" s="4"/>
      <c r="B327" s="4"/>
      <c r="C327" s="11"/>
      <c r="D327" s="11"/>
      <c r="E327" s="997"/>
      <c r="F327" s="997"/>
      <c r="G327" s="997"/>
      <c r="H327" s="997"/>
      <c r="I327" s="997"/>
      <c r="J327" s="997"/>
      <c r="K327" s="997"/>
      <c r="L327" s="997"/>
      <c r="M327" s="553"/>
      <c r="N327" s="553"/>
      <c r="O327" s="553"/>
      <c r="P327" s="553"/>
      <c r="Q327" s="553"/>
      <c r="R327" s="553"/>
      <c r="S327" s="553"/>
      <c r="T327" s="553"/>
      <c r="U327" s="553"/>
    </row>
    <row r="328" spans="1:21" customHeight="1" ht="18">
      <c r="A328" s="11"/>
      <c r="B328" s="11"/>
      <c r="C328" s="11"/>
      <c r="D328" s="11"/>
      <c r="E328" s="998"/>
      <c r="F328" s="999"/>
      <c r="G328" s="999"/>
      <c r="H328" s="999"/>
      <c r="I328" s="999"/>
      <c r="J328" s="999"/>
      <c r="K328" s="999"/>
      <c r="L328" s="999"/>
      <c r="M328" s="553"/>
      <c r="N328" s="553"/>
      <c r="O328" s="553"/>
      <c r="P328" s="553"/>
      <c r="Q328" s="553"/>
      <c r="R328" s="553"/>
      <c r="S328" s="553"/>
      <c r="T328" s="553"/>
      <c r="U328" s="553"/>
    </row>
    <row r="329" spans="1:21" customHeight="1" ht="18">
      <c r="A329" s="11"/>
      <c r="B329" s="11"/>
      <c r="C329" s="11"/>
      <c r="D329" s="11"/>
      <c r="E329" s="999"/>
      <c r="F329" s="999"/>
      <c r="G329" s="999"/>
      <c r="H329" s="999"/>
      <c r="I329" s="999"/>
      <c r="J329" s="999"/>
      <c r="K329" s="999"/>
      <c r="L329" s="999"/>
      <c r="M329" s="553"/>
      <c r="N329" s="553"/>
      <c r="O329" s="553"/>
      <c r="P329" s="553"/>
      <c r="Q329" s="553"/>
      <c r="R329" s="553"/>
      <c r="S329" s="553"/>
      <c r="T329" s="553"/>
      <c r="U329" s="553"/>
    </row>
    <row r="330" spans="1:21" customHeight="1" ht="18">
      <c r="A330" s="11"/>
      <c r="B330" s="11"/>
      <c r="C330" s="11"/>
      <c r="D330" s="11"/>
      <c r="E330" s="999"/>
      <c r="F330" s="999"/>
      <c r="G330" s="999"/>
      <c r="H330" s="999"/>
      <c r="I330" s="999"/>
      <c r="J330" s="999"/>
      <c r="K330" s="999"/>
      <c r="L330" s="999"/>
      <c r="M330" s="553"/>
      <c r="N330" s="553"/>
      <c r="O330" s="553"/>
      <c r="P330" s="553"/>
      <c r="Q330" s="553"/>
      <c r="R330" s="553"/>
      <c r="S330" s="553"/>
      <c r="T330" s="553"/>
      <c r="U330" s="553"/>
    </row>
    <row r="331" spans="1:21" customHeight="1" ht="18">
      <c r="A331" s="11"/>
      <c r="B331" s="11"/>
      <c r="C331" s="11"/>
      <c r="D331" s="11"/>
      <c r="E331" s="999"/>
      <c r="F331" s="999"/>
      <c r="G331" s="999"/>
      <c r="H331" s="999"/>
      <c r="I331" s="999"/>
      <c r="J331" s="999"/>
      <c r="K331" s="999"/>
      <c r="L331" s="999"/>
      <c r="M331" s="553"/>
      <c r="N331" s="553"/>
      <c r="O331" s="553"/>
      <c r="P331" s="553"/>
      <c r="Q331" s="553"/>
      <c r="R331" s="553"/>
      <c r="S331" s="553"/>
      <c r="T331" s="553"/>
      <c r="U331" s="553"/>
    </row>
    <row r="332" spans="1:21" customHeight="1" ht="18">
      <c r="A332" s="11"/>
      <c r="B332" s="11"/>
      <c r="C332" s="11"/>
      <c r="D332" s="11"/>
      <c r="E332" s="999"/>
      <c r="F332" s="999"/>
      <c r="G332" s="999"/>
      <c r="H332" s="999"/>
      <c r="I332" s="999"/>
      <c r="J332" s="999"/>
      <c r="K332" s="999"/>
      <c r="L332" s="999"/>
      <c r="M332" s="553"/>
      <c r="N332" s="553"/>
      <c r="O332" s="553"/>
      <c r="P332" s="553"/>
      <c r="Q332" s="553"/>
      <c r="R332" s="553"/>
      <c r="S332" s="553"/>
      <c r="T332" s="553"/>
      <c r="U332" s="553"/>
    </row>
    <row r="333" spans="1:21" customHeight="1" ht="18">
      <c r="A333" s="11"/>
      <c r="B333" s="11"/>
      <c r="C333" s="11"/>
      <c r="D333" s="11"/>
      <c r="E333" s="999"/>
      <c r="F333" s="999"/>
      <c r="G333" s="999"/>
      <c r="H333" s="999"/>
      <c r="I333" s="999"/>
      <c r="J333" s="999"/>
      <c r="K333" s="999"/>
      <c r="L333" s="999"/>
      <c r="M333" s="553"/>
      <c r="N333" s="553"/>
      <c r="O333" s="553"/>
      <c r="P333" s="553"/>
      <c r="Q333" s="553"/>
      <c r="R333" s="553"/>
      <c r="S333" s="553"/>
      <c r="T333" s="553"/>
      <c r="U333" s="553"/>
    </row>
    <row r="334" spans="1:21">
      <c r="L334" s="1000"/>
    </row>
    <row r="335" spans="1:21">
      <c r="L335" s="1000"/>
    </row>
    <row r="336" spans="1:21">
      <c r="L336" s="1000"/>
    </row>
    <row r="337" spans="1:21" s="529" customForma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11"/>
      <c r="L337" s="1000"/>
      <c r="N337" s="529"/>
      <c r="O337" s="529"/>
      <c r="P337" s="529"/>
      <c r="Q337" s="529"/>
      <c r="R337" s="529"/>
      <c r="S337" s="529"/>
      <c r="T337" s="529"/>
      <c r="U337" s="529"/>
    </row>
    <row r="338" spans="1:21" s="529" customForma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11"/>
      <c r="L338" s="1000"/>
      <c r="N338" s="529"/>
      <c r="O338" s="529"/>
      <c r="P338" s="529"/>
      <c r="Q338" s="529"/>
      <c r="R338" s="529"/>
      <c r="S338" s="529"/>
      <c r="T338" s="529"/>
      <c r="U338" s="529"/>
    </row>
    <row r="339" spans="1:21" s="529" customForma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11"/>
      <c r="L339" s="1000"/>
      <c r="N339" s="529"/>
      <c r="O339" s="529"/>
      <c r="P339" s="529"/>
      <c r="Q339" s="529"/>
      <c r="R339" s="529"/>
      <c r="S339" s="529"/>
      <c r="T339" s="529"/>
      <c r="U339" s="529"/>
    </row>
    <row r="340" spans="1:21" s="529" customForma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11"/>
      <c r="L340" s="1000"/>
      <c r="N340" s="529"/>
      <c r="O340" s="529"/>
      <c r="P340" s="529"/>
      <c r="Q340" s="529"/>
      <c r="R340" s="529"/>
      <c r="S340" s="529"/>
      <c r="T340" s="529"/>
      <c r="U340" s="529"/>
    </row>
    <row r="341" spans="1:21" s="529" customForma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11"/>
      <c r="L341" s="1000"/>
      <c r="N341" s="529"/>
      <c r="O341" s="529"/>
      <c r="P341" s="529"/>
      <c r="Q341" s="529"/>
      <c r="R341" s="529"/>
      <c r="S341" s="529"/>
      <c r="T341" s="529"/>
      <c r="U341" s="529"/>
    </row>
    <row r="342" spans="1:21" s="529" customForma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11"/>
      <c r="L342" s="1000"/>
      <c r="N342" s="529"/>
      <c r="O342" s="529"/>
      <c r="P342" s="529"/>
      <c r="Q342" s="529"/>
      <c r="R342" s="529"/>
      <c r="S342" s="529"/>
      <c r="T342" s="529"/>
      <c r="U342" s="529"/>
    </row>
    <row r="343" spans="1:21" s="529" customForma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11"/>
      <c r="L343" s="1000"/>
      <c r="N343" s="529"/>
      <c r="O343" s="529"/>
      <c r="P343" s="529"/>
      <c r="Q343" s="529"/>
      <c r="R343" s="529"/>
      <c r="S343" s="529"/>
      <c r="T343" s="529"/>
      <c r="U343" s="529"/>
    </row>
    <row r="344" spans="1:21" s="529" customForma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11"/>
      <c r="L344" s="1000"/>
      <c r="N344" s="529"/>
      <c r="O344" s="529"/>
      <c r="P344" s="529"/>
      <c r="Q344" s="529"/>
      <c r="R344" s="529"/>
      <c r="S344" s="529"/>
      <c r="T344" s="529"/>
      <c r="U344" s="529"/>
    </row>
    <row r="345" spans="1:21" s="529" customForma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11"/>
      <c r="L345" s="1000"/>
      <c r="N345" s="529"/>
      <c r="O345" s="529"/>
      <c r="P345" s="529"/>
      <c r="Q345" s="529"/>
      <c r="R345" s="529"/>
      <c r="S345" s="529"/>
      <c r="T345" s="529"/>
      <c r="U345" s="529"/>
    </row>
    <row r="346" spans="1:21" s="529" customForma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11"/>
      <c r="L346" s="1000"/>
      <c r="N346" s="529"/>
      <c r="O346" s="529"/>
      <c r="P346" s="529"/>
      <c r="Q346" s="529"/>
      <c r="R346" s="529"/>
      <c r="S346" s="529"/>
      <c r="T346" s="529"/>
      <c r="U346" s="529"/>
    </row>
    <row r="347" spans="1:21" s="529" customForma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11"/>
      <c r="L347" s="1000"/>
      <c r="N347" s="529"/>
      <c r="O347" s="529"/>
      <c r="P347" s="529"/>
      <c r="Q347" s="529"/>
      <c r="R347" s="529"/>
      <c r="S347" s="529"/>
      <c r="T347" s="529"/>
      <c r="U347" s="529"/>
    </row>
    <row r="348" spans="1:21" s="529" customForma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11"/>
      <c r="L348" s="1000"/>
      <c r="N348" s="529"/>
      <c r="O348" s="529"/>
      <c r="P348" s="529"/>
      <c r="Q348" s="529"/>
      <c r="R348" s="529"/>
      <c r="S348" s="529"/>
      <c r="T348" s="529"/>
      <c r="U348" s="529"/>
    </row>
    <row r="349" spans="1:21" s="529" customForma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11"/>
      <c r="L349" s="1000"/>
      <c r="N349" s="529"/>
      <c r="O349" s="529"/>
      <c r="P349" s="529"/>
      <c r="Q349" s="529"/>
      <c r="R349" s="529"/>
      <c r="S349" s="529"/>
      <c r="T349" s="529"/>
      <c r="U349" s="529"/>
    </row>
    <row r="350" spans="1:21" s="529" customForma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11"/>
      <c r="L350" s="1000"/>
      <c r="N350" s="529"/>
      <c r="O350" s="529"/>
      <c r="P350" s="529"/>
      <c r="Q350" s="529"/>
      <c r="R350" s="529"/>
      <c r="S350" s="529"/>
      <c r="T350" s="529"/>
      <c r="U350" s="529"/>
    </row>
    <row r="351" spans="1:21" s="529" customForma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11"/>
      <c r="L351" s="1000"/>
      <c r="N351" s="529"/>
      <c r="O351" s="529"/>
      <c r="P351" s="529"/>
      <c r="Q351" s="529"/>
      <c r="R351" s="529"/>
      <c r="S351" s="529"/>
      <c r="T351" s="529"/>
      <c r="U351" s="529"/>
    </row>
    <row r="352" spans="1:21" s="529" customForma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11"/>
      <c r="L352" s="1000"/>
      <c r="N352" s="529"/>
      <c r="O352" s="529"/>
      <c r="P352" s="529"/>
      <c r="Q352" s="529"/>
      <c r="R352" s="529"/>
      <c r="S352" s="529"/>
      <c r="T352" s="529"/>
      <c r="U352" s="529"/>
    </row>
    <row r="353" spans="1:21" s="529" customForma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11"/>
      <c r="L353" s="1000"/>
      <c r="N353" s="529"/>
      <c r="O353" s="529"/>
      <c r="P353" s="529"/>
      <c r="Q353" s="529"/>
      <c r="R353" s="529"/>
      <c r="S353" s="529"/>
      <c r="T353" s="529"/>
      <c r="U353" s="529"/>
    </row>
    <row r="354" spans="1:21" s="529" customForma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11"/>
      <c r="L354" s="1000"/>
      <c r="N354" s="529"/>
      <c r="O354" s="529"/>
      <c r="P354" s="529"/>
      <c r="Q354" s="529"/>
      <c r="R354" s="529"/>
      <c r="S354" s="529"/>
      <c r="T354" s="529"/>
      <c r="U354" s="529"/>
    </row>
    <row r="355" spans="1:21" s="529" customForma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11"/>
      <c r="L355" s="1000"/>
      <c r="N355" s="529"/>
      <c r="O355" s="529"/>
      <c r="P355" s="529"/>
      <c r="Q355" s="529"/>
      <c r="R355" s="529"/>
      <c r="S355" s="529"/>
      <c r="T355" s="529"/>
      <c r="U355" s="529"/>
    </row>
    <row r="356" spans="1:21" s="529" customForma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11"/>
      <c r="L356" s="1000"/>
      <c r="N356" s="529"/>
      <c r="O356" s="529"/>
      <c r="P356" s="529"/>
      <c r="Q356" s="529"/>
      <c r="R356" s="529"/>
      <c r="S356" s="529"/>
      <c r="T356" s="529"/>
      <c r="U356" s="529"/>
    </row>
    <row r="357" spans="1:21" s="529" customForma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11"/>
      <c r="L357" s="1000"/>
      <c r="N357" s="529"/>
      <c r="O357" s="529"/>
      <c r="P357" s="529"/>
      <c r="Q357" s="529"/>
      <c r="R357" s="529"/>
      <c r="S357" s="529"/>
      <c r="T357" s="529"/>
      <c r="U357" s="529"/>
    </row>
    <row r="358" spans="1:21" s="529" customForma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11"/>
      <c r="L358" s="1000"/>
      <c r="N358" s="529"/>
      <c r="O358" s="529"/>
      <c r="P358" s="529"/>
      <c r="Q358" s="529"/>
      <c r="R358" s="529"/>
      <c r="S358" s="529"/>
      <c r="T358" s="529"/>
      <c r="U358" s="529"/>
    </row>
    <row r="359" spans="1:21" s="529" customForma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11"/>
      <c r="L359" s="1000"/>
      <c r="N359" s="529"/>
      <c r="O359" s="529"/>
      <c r="P359" s="529"/>
      <c r="Q359" s="529"/>
      <c r="R359" s="529"/>
      <c r="S359" s="529"/>
      <c r="T359" s="529"/>
      <c r="U359" s="529"/>
    </row>
    <row r="360" spans="1:21" s="529" customForma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11"/>
      <c r="L360" s="1000"/>
      <c r="N360" s="529"/>
      <c r="O360" s="529"/>
      <c r="P360" s="529"/>
      <c r="Q360" s="529"/>
      <c r="R360" s="529"/>
      <c r="S360" s="529"/>
      <c r="T360" s="529"/>
      <c r="U360" s="529"/>
    </row>
    <row r="361" spans="1:21" s="529" customForma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11"/>
      <c r="L361" s="1000"/>
      <c r="N361" s="529"/>
      <c r="O361" s="529"/>
      <c r="P361" s="529"/>
      <c r="Q361" s="529"/>
      <c r="R361" s="529"/>
      <c r="S361" s="529"/>
      <c r="T361" s="529"/>
      <c r="U361" s="529"/>
    </row>
    <row r="362" spans="1:21" s="529" customForma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11"/>
      <c r="L362" s="1000"/>
      <c r="N362" s="529"/>
      <c r="O362" s="529"/>
      <c r="P362" s="529"/>
      <c r="Q362" s="529"/>
      <c r="R362" s="529"/>
      <c r="S362" s="529"/>
      <c r="T362" s="529"/>
      <c r="U362" s="529"/>
    </row>
    <row r="363" spans="1:21" s="529" customForma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11"/>
      <c r="L363" s="1000"/>
      <c r="N363" s="529"/>
      <c r="O363" s="529"/>
      <c r="P363" s="529"/>
      <c r="Q363" s="529"/>
      <c r="R363" s="529"/>
      <c r="S363" s="529"/>
      <c r="T363" s="529"/>
      <c r="U363" s="529"/>
    </row>
    <row r="364" spans="1:21" s="529" customForma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11"/>
      <c r="L364" s="1000"/>
      <c r="N364" s="529"/>
      <c r="O364" s="529"/>
      <c r="P364" s="529"/>
      <c r="Q364" s="529"/>
      <c r="R364" s="529"/>
      <c r="S364" s="529"/>
      <c r="T364" s="529"/>
      <c r="U364" s="529"/>
    </row>
    <row r="365" spans="1:21" s="529" customForma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11"/>
      <c r="L365" s="1000"/>
      <c r="N365" s="529"/>
      <c r="O365" s="529"/>
      <c r="P365" s="529"/>
      <c r="Q365" s="529"/>
      <c r="R365" s="529"/>
      <c r="S365" s="529"/>
      <c r="T365" s="529"/>
      <c r="U365" s="529"/>
    </row>
    <row r="366" spans="1:21" s="529" customForma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11"/>
      <c r="L366" s="1000"/>
      <c r="N366" s="529"/>
      <c r="O366" s="529"/>
      <c r="P366" s="529"/>
      <c r="Q366" s="529"/>
      <c r="R366" s="529"/>
      <c r="S366" s="529"/>
      <c r="T366" s="529"/>
      <c r="U366" s="529"/>
    </row>
    <row r="367" spans="1:21" s="529" customForma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11"/>
      <c r="L367" s="1000"/>
      <c r="N367" s="529"/>
      <c r="O367" s="529"/>
      <c r="P367" s="529"/>
      <c r="Q367" s="529"/>
      <c r="R367" s="529"/>
      <c r="S367" s="529"/>
      <c r="T367" s="529"/>
      <c r="U367" s="529"/>
    </row>
    <row r="368" spans="1:21" s="529" customForma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11"/>
      <c r="L368" s="1000"/>
      <c r="N368" s="529"/>
      <c r="O368" s="529"/>
      <c r="P368" s="529"/>
      <c r="Q368" s="529"/>
      <c r="R368" s="529"/>
      <c r="S368" s="529"/>
      <c r="T368" s="529"/>
      <c r="U368" s="529"/>
    </row>
    <row r="369" spans="1:21" s="529" customForma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11"/>
      <c r="L369" s="1000"/>
      <c r="N369" s="529"/>
      <c r="O369" s="529"/>
      <c r="P369" s="529"/>
      <c r="Q369" s="529"/>
      <c r="R369" s="529"/>
      <c r="S369" s="529"/>
      <c r="T369" s="529"/>
      <c r="U369" s="529"/>
    </row>
    <row r="370" spans="1:21" s="529" customForma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11"/>
      <c r="L370" s="1000"/>
      <c r="N370" s="529"/>
      <c r="O370" s="529"/>
      <c r="P370" s="529"/>
      <c r="Q370" s="529"/>
      <c r="R370" s="529"/>
      <c r="S370" s="529"/>
      <c r="T370" s="529"/>
      <c r="U370" s="529"/>
    </row>
    <row r="371" spans="1:21" s="529" customForma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11"/>
      <c r="L371" s="1000"/>
      <c r="N371" s="529"/>
      <c r="O371" s="529"/>
      <c r="P371" s="529"/>
      <c r="Q371" s="529"/>
      <c r="R371" s="529"/>
      <c r="S371" s="529"/>
      <c r="T371" s="529"/>
      <c r="U371" s="529"/>
    </row>
    <row r="372" spans="1:21" s="529" customForma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11"/>
      <c r="L372" s="1000"/>
      <c r="N372" s="529"/>
      <c r="O372" s="529"/>
      <c r="P372" s="529"/>
      <c r="Q372" s="529"/>
      <c r="R372" s="529"/>
      <c r="S372" s="529"/>
      <c r="T372" s="529"/>
      <c r="U372" s="529"/>
    </row>
    <row r="373" spans="1:21" s="529" customForma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11"/>
      <c r="L373" s="1000"/>
      <c r="N373" s="529"/>
      <c r="O373" s="529"/>
      <c r="P373" s="529"/>
      <c r="Q373" s="529"/>
      <c r="R373" s="529"/>
      <c r="S373" s="529"/>
      <c r="T373" s="529"/>
      <c r="U373" s="529"/>
    </row>
    <row r="374" spans="1:21" s="529" customForma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11"/>
      <c r="L374" s="1000"/>
      <c r="N374" s="529"/>
      <c r="O374" s="529"/>
      <c r="P374" s="529"/>
      <c r="Q374" s="529"/>
      <c r="R374" s="529"/>
      <c r="S374" s="529"/>
      <c r="T374" s="529"/>
      <c r="U374" s="529"/>
    </row>
    <row r="375" spans="1:21" s="529" customForma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11"/>
      <c r="L375" s="1000"/>
      <c r="N375" s="529"/>
      <c r="O375" s="529"/>
      <c r="P375" s="529"/>
      <c r="Q375" s="529"/>
      <c r="R375" s="529"/>
      <c r="S375" s="529"/>
      <c r="T375" s="529"/>
      <c r="U375" s="529"/>
    </row>
    <row r="376" spans="1:21" s="529" customForma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11"/>
      <c r="L376" s="1000"/>
      <c r="N376" s="529"/>
      <c r="O376" s="529"/>
      <c r="P376" s="529"/>
      <c r="Q376" s="529"/>
      <c r="R376" s="529"/>
      <c r="S376" s="529"/>
      <c r="T376" s="529"/>
      <c r="U376" s="529"/>
    </row>
    <row r="377" spans="1:21" s="529" customForma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11"/>
      <c r="L377" s="1000"/>
      <c r="N377" s="529"/>
      <c r="O377" s="529"/>
      <c r="P377" s="529"/>
      <c r="Q377" s="529"/>
      <c r="R377" s="529"/>
      <c r="S377" s="529"/>
      <c r="T377" s="529"/>
      <c r="U377" s="529"/>
    </row>
    <row r="378" spans="1:21" s="529" customForma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11"/>
      <c r="L378" s="1000"/>
      <c r="N378" s="529"/>
      <c r="O378" s="529"/>
      <c r="P378" s="529"/>
      <c r="Q378" s="529"/>
      <c r="R378" s="529"/>
      <c r="S378" s="529"/>
      <c r="T378" s="529"/>
      <c r="U378" s="529"/>
    </row>
    <row r="379" spans="1:21" s="529" customForma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11"/>
      <c r="L379" s="1000"/>
      <c r="N379" s="529"/>
      <c r="O379" s="529"/>
      <c r="P379" s="529"/>
      <c r="Q379" s="529"/>
      <c r="R379" s="529"/>
      <c r="S379" s="529"/>
      <c r="T379" s="529"/>
      <c r="U379" s="529"/>
    </row>
    <row r="380" spans="1:21" s="529" customForma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11"/>
      <c r="L380" s="1000"/>
      <c r="N380" s="529"/>
      <c r="O380" s="529"/>
      <c r="P380" s="529"/>
      <c r="Q380" s="529"/>
      <c r="R380" s="529"/>
      <c r="S380" s="529"/>
      <c r="T380" s="529"/>
      <c r="U380" s="529"/>
    </row>
    <row r="381" spans="1:21" s="529" customForma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11"/>
      <c r="L381" s="1000"/>
      <c r="N381" s="529"/>
      <c r="O381" s="529"/>
      <c r="P381" s="529"/>
      <c r="Q381" s="529"/>
      <c r="R381" s="529"/>
      <c r="S381" s="529"/>
      <c r="T381" s="529"/>
      <c r="U381" s="529"/>
    </row>
    <row r="382" spans="1:21" s="529" customForma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11"/>
      <c r="L382" s="1000"/>
      <c r="N382" s="529"/>
      <c r="O382" s="529"/>
      <c r="P382" s="529"/>
      <c r="Q382" s="529"/>
      <c r="R382" s="529"/>
      <c r="S382" s="529"/>
      <c r="T382" s="529"/>
      <c r="U382" s="529"/>
    </row>
    <row r="383" spans="1:21" s="529" customForma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11"/>
      <c r="L383" s="1000"/>
      <c r="N383" s="529"/>
      <c r="O383" s="529"/>
      <c r="P383" s="529"/>
      <c r="Q383" s="529"/>
      <c r="R383" s="529"/>
      <c r="S383" s="529"/>
      <c r="T383" s="529"/>
      <c r="U383" s="529"/>
    </row>
    <row r="384" spans="1:21" s="529" customForma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11"/>
      <c r="L384" s="1000"/>
      <c r="N384" s="529"/>
      <c r="O384" s="529"/>
      <c r="P384" s="529"/>
      <c r="Q384" s="529"/>
      <c r="R384" s="529"/>
      <c r="S384" s="529"/>
      <c r="T384" s="529"/>
      <c r="U384" s="529"/>
    </row>
    <row r="385" spans="1:21" s="529" customForma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11"/>
      <c r="L385" s="1000"/>
      <c r="N385" s="529"/>
      <c r="O385" s="529"/>
      <c r="P385" s="529"/>
      <c r="Q385" s="529"/>
      <c r="R385" s="529"/>
      <c r="S385" s="529"/>
      <c r="T385" s="529"/>
      <c r="U385" s="529"/>
    </row>
    <row r="386" spans="1:21" s="529" customForma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11"/>
      <c r="L386" s="1000"/>
      <c r="N386" s="529"/>
      <c r="O386" s="529"/>
      <c r="P386" s="529"/>
      <c r="Q386" s="529"/>
      <c r="R386" s="529"/>
      <c r="S386" s="529"/>
      <c r="T386" s="529"/>
      <c r="U386" s="529"/>
    </row>
    <row r="387" spans="1:21" s="529" customForma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11"/>
      <c r="L387" s="1000"/>
      <c r="N387" s="529"/>
      <c r="O387" s="529"/>
      <c r="P387" s="529"/>
      <c r="Q387" s="529"/>
      <c r="R387" s="529"/>
      <c r="S387" s="529"/>
      <c r="T387" s="529"/>
      <c r="U387" s="529"/>
    </row>
    <row r="388" spans="1:21" s="529" customForma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11"/>
      <c r="L388" s="1000"/>
      <c r="N388" s="529"/>
      <c r="O388" s="529"/>
      <c r="P388" s="529"/>
      <c r="Q388" s="529"/>
      <c r="R388" s="529"/>
      <c r="S388" s="529"/>
      <c r="T388" s="529"/>
      <c r="U388" s="5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6:C316"/>
    <mergeCell ref="K316:L316"/>
    <mergeCell ref="A321:E321"/>
    <mergeCell ref="F321:I321"/>
    <mergeCell ref="J321:L321"/>
    <mergeCell ref="A319:E319"/>
    <mergeCell ref="F319:I319"/>
    <mergeCell ref="J319:L319"/>
    <mergeCell ref="A320:E320"/>
    <mergeCell ref="F320:I320"/>
    <mergeCell ref="J320:L320"/>
    <mergeCell ref="A15:F15"/>
    <mergeCell ref="A114:D114"/>
    <mergeCell ref="G114:H114"/>
    <mergeCell ref="K114:L114"/>
    <mergeCell ref="A310:D310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3" footer="0.3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33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5"/>
  <sheetViews>
    <sheetView tabSelected="0" workbookViewId="0" view="pageBreakPreview" showGridLines="false" showRowColHeaders="1">
      <selection activeCell="M20" sqref="M20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2.7109375" customWidth="true" style="9"/>
    <col min="6" max="6" width="12.7109375" customWidth="true" style="9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11"/>
    <col min="12" max="12" width="16.7109375" customWidth="true" style="598"/>
    <col min="13" max="13" width="16.7109375" customWidth="true" style="0"/>
  </cols>
  <sheetData>
    <row r="1" spans="1:13" customHeight="1" ht="9.95" s="173" customFormat="1">
      <c r="A1" s="173" t="s">
        <v>0</v>
      </c>
      <c r="J1" s="174"/>
      <c r="L1" s="175"/>
    </row>
    <row r="2" spans="1:13" customHeight="1" ht="9.95" s="173" customFormat="1">
      <c r="A2" s="173" t="s">
        <v>1</v>
      </c>
      <c r="J2" s="174"/>
      <c r="L2" s="175"/>
    </row>
    <row r="3" spans="1:13" customHeight="1" ht="9.95" s="173" customFormat="1">
      <c r="A3" s="173" t="s">
        <v>2</v>
      </c>
      <c r="J3" s="174"/>
      <c r="L3" s="175"/>
    </row>
    <row r="4" spans="1:13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3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3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3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3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558</v>
      </c>
    </row>
    <row r="9" spans="1:13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13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3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3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3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3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3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3" customHeight="1" ht="17.1" s="11" customFormat="1">
      <c r="A16" s="15" t="s">
        <v>24</v>
      </c>
      <c r="B16" s="15"/>
      <c r="C16" s="15"/>
      <c r="D16" s="15"/>
      <c r="E16" s="15"/>
      <c r="F16" s="15"/>
      <c r="G16" s="1002"/>
      <c r="H16" s="1003"/>
      <c r="I16" s="1003"/>
      <c r="J16" s="1003"/>
      <c r="K16" s="1004"/>
      <c r="L16" s="1005"/>
    </row>
    <row r="17" spans="1:13" customHeight="1" ht="17.1" s="11" customFormat="1">
      <c r="A17" s="731" t="s">
        <v>216</v>
      </c>
      <c r="B17" s="731"/>
      <c r="C17" s="15"/>
      <c r="D17" s="15"/>
      <c r="E17" s="15"/>
      <c r="F17" s="15"/>
      <c r="G17" s="1006"/>
      <c r="H17" s="1007"/>
      <c r="I17" s="1007"/>
      <c r="J17" s="1007"/>
      <c r="K17" s="1004"/>
      <c r="L17" s="1005"/>
    </row>
    <row r="18" spans="1:13" customHeight="1" ht="17.1" s="2" customFormat="1">
      <c r="C18" s="9" t="s">
        <v>26</v>
      </c>
      <c r="D18" s="9"/>
      <c r="E18" s="9"/>
      <c r="F18" s="9"/>
      <c r="G18" s="213" t="s">
        <v>27</v>
      </c>
      <c r="H18" s="645">
        <v>3575297</v>
      </c>
      <c r="I18" s="645">
        <v>1851786</v>
      </c>
      <c r="J18" s="645">
        <f>K18-I18</f>
        <v>2697330</v>
      </c>
      <c r="K18" s="645">
        <v>4549116</v>
      </c>
      <c r="L18" s="615">
        <v>4681620</v>
      </c>
    </row>
    <row r="19" spans="1:13" customHeight="1" ht="17.1" s="2" customFormat="1">
      <c r="C19" s="9" t="s">
        <v>28</v>
      </c>
      <c r="D19" s="9"/>
      <c r="E19" s="9"/>
      <c r="F19" s="9"/>
      <c r="G19" s="213" t="s">
        <v>29</v>
      </c>
      <c r="H19" s="537">
        <v>240000</v>
      </c>
      <c r="I19" s="537">
        <v>120000</v>
      </c>
      <c r="J19" s="537">
        <f>K19-I19</f>
        <v>144000</v>
      </c>
      <c r="K19" s="537">
        <v>264000</v>
      </c>
      <c r="L19" s="533">
        <v>264000</v>
      </c>
    </row>
    <row r="20" spans="1:13" customHeight="1" ht="17.1" s="2" customFormat="1">
      <c r="C20" s="9" t="s">
        <v>30</v>
      </c>
      <c r="D20" s="9"/>
      <c r="E20" s="9"/>
      <c r="F20" s="9"/>
      <c r="G20" s="213" t="s">
        <v>31</v>
      </c>
      <c r="H20" s="537">
        <v>135000</v>
      </c>
      <c r="I20" s="537">
        <v>67500</v>
      </c>
      <c r="J20" s="537">
        <f>K20-I20</f>
        <v>67500</v>
      </c>
      <c r="K20" s="537">
        <v>135000</v>
      </c>
      <c r="L20" s="533">
        <v>135000</v>
      </c>
    </row>
    <row r="21" spans="1:13" customHeight="1" ht="17.1" s="2" customFormat="1">
      <c r="C21" s="9" t="s">
        <v>32</v>
      </c>
      <c r="D21" s="9"/>
      <c r="E21" s="9"/>
      <c r="F21" s="9"/>
      <c r="G21" s="213" t="s">
        <v>33</v>
      </c>
      <c r="H21" s="537">
        <v>135000</v>
      </c>
      <c r="I21" s="537">
        <v>67500</v>
      </c>
      <c r="J21" s="537">
        <f>K21-I21</f>
        <v>67500</v>
      </c>
      <c r="K21" s="537">
        <v>135000</v>
      </c>
      <c r="L21" s="533">
        <v>135000</v>
      </c>
    </row>
    <row r="22" spans="1:13" customHeight="1" ht="17.1" s="2" customFormat="1">
      <c r="C22" s="9" t="s">
        <v>34</v>
      </c>
      <c r="D22" s="9"/>
      <c r="E22" s="9"/>
      <c r="F22" s="9"/>
      <c r="G22" s="213" t="s">
        <v>35</v>
      </c>
      <c r="H22" s="537">
        <v>60000</v>
      </c>
      <c r="I22" s="537">
        <v>60000</v>
      </c>
      <c r="J22" s="537">
        <f>K22-I22</f>
        <v>6000</v>
      </c>
      <c r="K22" s="537">
        <v>66000</v>
      </c>
      <c r="L22" s="533">
        <v>66000</v>
      </c>
    </row>
    <row r="23" spans="1:13" customHeight="1" ht="17.1" s="2" customFormat="1">
      <c r="C23" s="9" t="s">
        <v>36</v>
      </c>
      <c r="D23" s="9"/>
      <c r="E23" s="9"/>
      <c r="F23" s="9"/>
      <c r="G23" s="213" t="s">
        <v>37</v>
      </c>
      <c r="H23" s="537">
        <v>0</v>
      </c>
      <c r="I23" s="537">
        <v>0</v>
      </c>
      <c r="J23" s="537">
        <f>K23-I23</f>
        <v>60000</v>
      </c>
      <c r="K23" s="537">
        <v>60000</v>
      </c>
      <c r="L23" s="533">
        <v>60000</v>
      </c>
    </row>
    <row r="24" spans="1:13" customHeight="1" ht="17.1" s="2" customFormat="1">
      <c r="C24" s="9" t="s">
        <v>38</v>
      </c>
      <c r="D24" s="9"/>
      <c r="E24" s="9"/>
      <c r="F24" s="9"/>
      <c r="G24" s="213" t="s">
        <v>39</v>
      </c>
      <c r="H24" s="537">
        <v>297865</v>
      </c>
      <c r="I24" s="537">
        <v>0</v>
      </c>
      <c r="J24" s="537">
        <f>K24-I24</f>
        <v>379093</v>
      </c>
      <c r="K24" s="537">
        <v>379093</v>
      </c>
      <c r="L24" s="533">
        <v>390135</v>
      </c>
    </row>
    <row r="25" spans="1:13" customHeight="1" ht="17.1" s="2" customFormat="1">
      <c r="C25" s="9" t="s">
        <v>40</v>
      </c>
      <c r="D25" s="9"/>
      <c r="E25" s="9"/>
      <c r="F25" s="9"/>
      <c r="G25" s="213" t="s">
        <v>41</v>
      </c>
      <c r="H25" s="537">
        <v>50000</v>
      </c>
      <c r="I25" s="537">
        <v>0</v>
      </c>
      <c r="J25" s="537">
        <f>K25-I25</f>
        <v>55000</v>
      </c>
      <c r="K25" s="537">
        <v>55000</v>
      </c>
      <c r="L25" s="533">
        <v>55000</v>
      </c>
    </row>
    <row r="26" spans="1:13" customHeight="1" ht="17.1" s="2" customFormat="1">
      <c r="C26" s="9" t="s">
        <v>42</v>
      </c>
      <c r="D26" s="9"/>
      <c r="E26" s="9"/>
      <c r="F26" s="533"/>
      <c r="G26" s="213" t="s">
        <v>43</v>
      </c>
      <c r="H26" s="537">
        <v>347706</v>
      </c>
      <c r="I26" s="537">
        <v>308679</v>
      </c>
      <c r="J26" s="537">
        <f>K26-I26</f>
        <v>125414</v>
      </c>
      <c r="K26" s="537">
        <v>434093</v>
      </c>
      <c r="L26" s="533">
        <f>SUM(F27:F28)</f>
        <v>445135</v>
      </c>
    </row>
    <row r="27" spans="1:13" customHeight="1" ht="17.1" s="2" customFormat="1">
      <c r="C27" s="29" t="s">
        <v>44</v>
      </c>
      <c r="D27" s="9"/>
      <c r="E27" s="9"/>
      <c r="F27" s="664">
        <f>L24</f>
        <v>390135</v>
      </c>
      <c r="G27" s="213"/>
      <c r="H27" s="537"/>
      <c r="I27" s="537"/>
      <c r="J27" s="537"/>
      <c r="K27" s="537"/>
      <c r="L27" s="533"/>
    </row>
    <row r="28" spans="1:13" customHeight="1" ht="17.1" s="2" customFormat="1">
      <c r="C28" s="29" t="s">
        <v>45</v>
      </c>
      <c r="D28" s="9"/>
      <c r="E28" s="9"/>
      <c r="F28" s="665">
        <f>L25</f>
        <v>55000</v>
      </c>
      <c r="G28" s="213"/>
      <c r="H28" s="537"/>
      <c r="I28" s="537"/>
      <c r="J28" s="537"/>
      <c r="K28" s="537"/>
      <c r="L28" s="533"/>
    </row>
    <row r="29" spans="1:13" customHeight="1" ht="17.1" s="2" customFormat="1">
      <c r="C29" s="9" t="s">
        <v>46</v>
      </c>
      <c r="D29" s="9"/>
      <c r="E29" s="9"/>
      <c r="F29" s="9"/>
      <c r="G29" s="213" t="s">
        <v>47</v>
      </c>
      <c r="H29" s="537">
        <v>394442.76</v>
      </c>
      <c r="I29" s="537">
        <v>222214.32</v>
      </c>
      <c r="J29" s="537">
        <f>K29-I29</f>
        <v>323679.6</v>
      </c>
      <c r="K29" s="537">
        <v>545893.92</v>
      </c>
      <c r="L29" s="533">
        <v>561794.4</v>
      </c>
    </row>
    <row r="30" spans="1:13" customHeight="1" ht="17.1" s="2" customFormat="1">
      <c r="C30" s="9" t="s">
        <v>48</v>
      </c>
      <c r="D30" s="9"/>
      <c r="E30" s="9"/>
      <c r="F30" s="9"/>
      <c r="G30" s="213" t="s">
        <v>49</v>
      </c>
      <c r="H30" s="537">
        <v>12000</v>
      </c>
      <c r="I30" s="537">
        <v>6000</v>
      </c>
      <c r="J30" s="537">
        <f>K30-I30</f>
        <v>7200</v>
      </c>
      <c r="K30" s="537">
        <v>13200</v>
      </c>
      <c r="L30" s="533">
        <v>13200</v>
      </c>
    </row>
    <row r="31" spans="1:13" customHeight="1" ht="17.1" s="2" customFormat="1">
      <c r="C31" s="9" t="s">
        <v>50</v>
      </c>
      <c r="D31" s="9"/>
      <c r="E31" s="9"/>
      <c r="F31" s="9"/>
      <c r="G31" s="213" t="s">
        <v>51</v>
      </c>
      <c r="H31" s="537">
        <v>46825.98</v>
      </c>
      <c r="I31" s="537">
        <v>23920.96</v>
      </c>
      <c r="J31" s="537">
        <f>K31-I31</f>
        <v>64491.2</v>
      </c>
      <c r="K31" s="537">
        <v>88412.16</v>
      </c>
      <c r="L31" s="533">
        <v>104682.78</v>
      </c>
    </row>
    <row r="32" spans="1:13" customHeight="1" ht="17.1" s="2" customFormat="1">
      <c r="C32" s="9" t="s">
        <v>52</v>
      </c>
      <c r="D32" s="9"/>
      <c r="E32" s="9"/>
      <c r="F32" s="9"/>
      <c r="G32" s="213" t="s">
        <v>53</v>
      </c>
      <c r="H32" s="537">
        <v>12000</v>
      </c>
      <c r="I32" s="537">
        <v>6000</v>
      </c>
      <c r="J32" s="537">
        <f>K32-I32</f>
        <v>7200</v>
      </c>
      <c r="K32" s="537">
        <v>13200</v>
      </c>
      <c r="L32" s="533">
        <v>13200</v>
      </c>
    </row>
    <row r="33" spans="1:13" customHeight="1" ht="17.1" s="2" customFormat="1">
      <c r="C33" s="9" t="s">
        <v>58</v>
      </c>
      <c r="D33" s="9"/>
      <c r="E33" s="9"/>
      <c r="F33" s="9"/>
      <c r="G33" s="213" t="s">
        <v>59</v>
      </c>
      <c r="H33" s="541">
        <v>250000</v>
      </c>
      <c r="I33" s="541">
        <v>0</v>
      </c>
      <c r="J33" s="541">
        <v>0</v>
      </c>
      <c r="K33" s="541">
        <v>0</v>
      </c>
      <c r="L33" s="557">
        <v>0</v>
      </c>
    </row>
    <row r="34" spans="1:13" customHeight="1" ht="17.1" s="550" customFormat="1">
      <c r="A34" s="543" t="s">
        <v>256</v>
      </c>
      <c r="B34" s="543"/>
      <c r="C34" s="543"/>
      <c r="D34" s="543"/>
      <c r="E34" s="543"/>
      <c r="F34" s="543"/>
      <c r="G34" s="545"/>
      <c r="H34" s="546">
        <f>SUM(H18:H33)</f>
        <v>5556136.74</v>
      </c>
      <c r="I34" s="546">
        <f>SUM(I18:I33)</f>
        <v>2733600.28</v>
      </c>
      <c r="J34" s="546">
        <f>SUM(J18:J33)</f>
        <v>4004407.8</v>
      </c>
      <c r="K34" s="546">
        <f>SUM(K18:K33)</f>
        <v>6738008.08</v>
      </c>
      <c r="L34" s="547">
        <f>SUM(L18:L33)</f>
        <v>6924767.18</v>
      </c>
      <c r="M34" s="1008">
        <f>L34-L23</f>
        <v>6864767.18</v>
      </c>
    </row>
    <row r="35" spans="1:13" customHeight="1" ht="15.95" s="531" customFormat="1">
      <c r="A35" s="734" t="s">
        <v>62</v>
      </c>
      <c r="B35" s="734"/>
      <c r="C35" s="15"/>
      <c r="D35" s="15"/>
      <c r="E35" s="15"/>
      <c r="F35" s="15"/>
      <c r="G35" s="213"/>
      <c r="H35" s="586"/>
      <c r="I35" s="586"/>
      <c r="J35" s="586"/>
      <c r="K35" s="527"/>
      <c r="L35" s="1009"/>
    </row>
    <row r="36" spans="1:13" customHeight="1" ht="15.95" s="2" customFormat="1">
      <c r="C36" s="9" t="s">
        <v>63</v>
      </c>
      <c r="D36" s="9"/>
      <c r="E36" s="9"/>
      <c r="F36" s="9"/>
      <c r="G36" s="238" t="s">
        <v>64</v>
      </c>
      <c r="H36" s="1010">
        <v>0</v>
      </c>
      <c r="I36" s="1011">
        <v>4200</v>
      </c>
      <c r="J36" s="645">
        <f>K36-I36</f>
        <v>115800</v>
      </c>
      <c r="K36" s="1012">
        <v>120000</v>
      </c>
      <c r="L36" s="1013">
        <v>100000</v>
      </c>
    </row>
    <row r="37" spans="1:13" customHeight="1" ht="15.95" s="2" customFormat="1">
      <c r="C37" s="9" t="s">
        <v>72</v>
      </c>
      <c r="D37" s="9"/>
      <c r="E37" s="9"/>
      <c r="F37" s="9"/>
      <c r="G37" s="238" t="s">
        <v>73</v>
      </c>
      <c r="H37" s="537">
        <v>0</v>
      </c>
      <c r="I37" s="617">
        <v>0</v>
      </c>
      <c r="J37" s="537">
        <f>K37-I37</f>
        <v>60000</v>
      </c>
      <c r="K37" s="617">
        <v>60000</v>
      </c>
      <c r="L37" s="533">
        <v>50000</v>
      </c>
    </row>
    <row r="38" spans="1:13" customHeight="1" ht="15.95" s="2" customFormat="1">
      <c r="C38" s="9" t="s">
        <v>234</v>
      </c>
      <c r="D38" s="9"/>
      <c r="E38" s="9"/>
      <c r="F38" s="9"/>
      <c r="G38" s="238" t="s">
        <v>77</v>
      </c>
      <c r="H38" s="537">
        <v>146792</v>
      </c>
      <c r="I38" s="617">
        <v>24322.8</v>
      </c>
      <c r="J38" s="537">
        <f>K38-I38</f>
        <v>125677.2</v>
      </c>
      <c r="K38" s="617">
        <v>150000</v>
      </c>
      <c r="L38" s="533">
        <v>120000</v>
      </c>
    </row>
    <row r="39" spans="1:13" customHeight="1" ht="15.95" s="2" customFormat="1">
      <c r="C39" s="9" t="s">
        <v>235</v>
      </c>
      <c r="D39" s="9"/>
      <c r="E39" s="9"/>
      <c r="F39" s="9"/>
      <c r="G39" s="238" t="s">
        <v>80</v>
      </c>
      <c r="H39" s="537">
        <v>48750</v>
      </c>
      <c r="I39" s="617">
        <v>33070.14</v>
      </c>
      <c r="J39" s="537">
        <f>K39-I39</f>
        <v>66929.86</v>
      </c>
      <c r="K39" s="617">
        <v>100000</v>
      </c>
      <c r="L39" s="533">
        <v>100000</v>
      </c>
    </row>
    <row r="40" spans="1:13" customHeight="1" ht="15.95" s="2" customFormat="1">
      <c r="C40" s="9" t="s">
        <v>559</v>
      </c>
      <c r="D40" s="9"/>
      <c r="E40" s="9"/>
      <c r="F40" s="9"/>
      <c r="G40" s="238" t="s">
        <v>560</v>
      </c>
      <c r="H40" s="537">
        <v>0</v>
      </c>
      <c r="I40" s="617">
        <v>0</v>
      </c>
      <c r="J40" s="537">
        <f>K40-I40</f>
        <v>2000</v>
      </c>
      <c r="K40" s="617">
        <v>2000</v>
      </c>
      <c r="L40" s="533">
        <v>2000</v>
      </c>
    </row>
    <row r="41" spans="1:13" customHeight="1" ht="15.95" s="2" customFormat="1">
      <c r="C41" s="9" t="s">
        <v>81</v>
      </c>
      <c r="D41" s="9"/>
      <c r="E41" s="9"/>
      <c r="F41" s="9"/>
      <c r="G41" s="213" t="s">
        <v>82</v>
      </c>
      <c r="H41" s="537">
        <v>29080</v>
      </c>
      <c r="I41" s="617">
        <v>0</v>
      </c>
      <c r="J41" s="537">
        <f>K41-I41</f>
        <v>80000</v>
      </c>
      <c r="K41" s="617">
        <v>80000</v>
      </c>
      <c r="L41" s="533">
        <v>80000</v>
      </c>
    </row>
    <row r="42" spans="1:13" customHeight="1" ht="15.95" s="2" customFormat="1">
      <c r="C42" s="9" t="s">
        <v>93</v>
      </c>
      <c r="D42" s="9"/>
      <c r="E42" s="9"/>
      <c r="F42" s="9"/>
      <c r="G42" s="238" t="s">
        <v>94</v>
      </c>
      <c r="H42" s="537">
        <v>1000</v>
      </c>
      <c r="I42" s="617">
        <v>1000</v>
      </c>
      <c r="J42" s="537">
        <f>K42-I42</f>
        <v>1000</v>
      </c>
      <c r="K42" s="617">
        <v>2000</v>
      </c>
      <c r="L42" s="533">
        <v>2000</v>
      </c>
    </row>
    <row r="43" spans="1:13" customHeight="1" ht="15.95" s="2" customFormat="1">
      <c r="C43" s="9" t="s">
        <v>263</v>
      </c>
      <c r="D43" s="9"/>
      <c r="E43" s="9"/>
      <c r="F43" s="9"/>
      <c r="G43" s="238" t="s">
        <v>96</v>
      </c>
      <c r="H43" s="537">
        <v>33846.13</v>
      </c>
      <c r="I43" s="617">
        <v>19560.07</v>
      </c>
      <c r="J43" s="537">
        <f>K43-I43</f>
        <v>20439.93</v>
      </c>
      <c r="K43" s="617">
        <v>40000</v>
      </c>
      <c r="L43" s="533">
        <v>40000</v>
      </c>
    </row>
    <row r="44" spans="1:13" customHeight="1" ht="15.95" s="2" customFormat="1">
      <c r="C44" s="9" t="s">
        <v>561</v>
      </c>
      <c r="D44" s="9"/>
      <c r="E44" s="9"/>
      <c r="F44" s="9"/>
      <c r="G44" s="213" t="s">
        <v>100</v>
      </c>
      <c r="H44" s="537">
        <v>0</v>
      </c>
      <c r="I44" s="617">
        <v>0</v>
      </c>
      <c r="J44" s="537">
        <f>K44-I44</f>
        <v>10000</v>
      </c>
      <c r="K44" s="617">
        <v>10000</v>
      </c>
      <c r="L44" s="533">
        <v>10000</v>
      </c>
    </row>
    <row r="45" spans="1:13" customHeight="1" ht="15.95" s="2" customFormat="1">
      <c r="C45" s="9" t="s">
        <v>562</v>
      </c>
      <c r="D45" s="9"/>
      <c r="E45" s="9"/>
      <c r="F45" s="9"/>
      <c r="G45" s="213" t="s">
        <v>102</v>
      </c>
      <c r="H45" s="616">
        <v>0</v>
      </c>
      <c r="I45" s="649">
        <v>6362.15</v>
      </c>
      <c r="J45" s="537">
        <f>K45-I45</f>
        <v>43637.85</v>
      </c>
      <c r="K45" s="617">
        <v>50000</v>
      </c>
      <c r="L45" s="533">
        <v>50000</v>
      </c>
    </row>
    <row r="46" spans="1:13" customHeight="1" ht="15.95" s="2" customFormat="1">
      <c r="C46" s="9" t="s">
        <v>239</v>
      </c>
      <c r="D46" s="9"/>
      <c r="E46" s="9"/>
      <c r="F46" s="9"/>
      <c r="G46" s="213" t="s">
        <v>123</v>
      </c>
      <c r="H46" s="537">
        <v>0</v>
      </c>
      <c r="I46" s="617">
        <v>0</v>
      </c>
      <c r="J46" s="537">
        <f>K46-I46</f>
        <v>4000</v>
      </c>
      <c r="K46" s="617">
        <v>4000</v>
      </c>
      <c r="L46" s="533">
        <v>4000</v>
      </c>
    </row>
    <row r="47" spans="1:13" customHeight="1" ht="15.95" s="2" customFormat="1">
      <c r="C47" s="9" t="s">
        <v>241</v>
      </c>
      <c r="D47" s="9"/>
      <c r="E47" s="9"/>
      <c r="F47" s="9"/>
      <c r="G47" s="238" t="s">
        <v>242</v>
      </c>
      <c r="H47" s="537">
        <v>47771</v>
      </c>
      <c r="I47" s="617">
        <v>14650</v>
      </c>
      <c r="J47" s="537">
        <f>K47-I47</f>
        <v>45350</v>
      </c>
      <c r="K47" s="617">
        <v>60000</v>
      </c>
      <c r="L47" s="533">
        <v>60000</v>
      </c>
    </row>
    <row r="48" spans="1:13" customHeight="1" ht="15.95" s="2" customFormat="1">
      <c r="C48" s="9" t="s">
        <v>563</v>
      </c>
      <c r="D48" s="9"/>
      <c r="E48" s="9"/>
      <c r="F48" s="9"/>
      <c r="G48" s="238" t="s">
        <v>135</v>
      </c>
      <c r="H48" s="537">
        <v>0</v>
      </c>
      <c r="I48" s="617">
        <v>0</v>
      </c>
      <c r="J48" s="537">
        <f>K48-I48</f>
        <v>25000</v>
      </c>
      <c r="K48" s="617">
        <v>25000</v>
      </c>
      <c r="L48" s="533">
        <v>25000</v>
      </c>
    </row>
    <row r="49" spans="1:13" customHeight="1" ht="15.95" s="2" customFormat="1">
      <c r="C49" s="9" t="s">
        <v>564</v>
      </c>
      <c r="D49" s="9"/>
      <c r="E49" s="9"/>
      <c r="F49" s="9"/>
      <c r="G49" s="213" t="s">
        <v>143</v>
      </c>
      <c r="H49" s="537">
        <v>485582.18</v>
      </c>
      <c r="I49" s="617">
        <v>74246.51</v>
      </c>
      <c r="J49" s="537">
        <f>K49-I49</f>
        <v>285753.49</v>
      </c>
      <c r="K49" s="617">
        <v>360000</v>
      </c>
      <c r="L49" s="533">
        <v>300000</v>
      </c>
    </row>
    <row r="50" spans="1:13" customHeight="1" ht="15.95" s="2" customFormat="1">
      <c r="C50" s="28" t="s">
        <v>565</v>
      </c>
      <c r="D50" s="9"/>
      <c r="E50" s="9"/>
      <c r="F50" s="9"/>
      <c r="G50" s="213"/>
      <c r="H50" s="537"/>
      <c r="I50" s="617"/>
      <c r="J50" s="617"/>
      <c r="K50" s="617"/>
      <c r="L50" s="533"/>
    </row>
    <row r="51" spans="1:13" customHeight="1" ht="15.95" s="2" customFormat="1">
      <c r="C51" s="5" t="s">
        <v>150</v>
      </c>
      <c r="D51" s="9"/>
      <c r="E51" s="9"/>
      <c r="F51" s="9"/>
      <c r="G51" s="213" t="s">
        <v>107</v>
      </c>
      <c r="H51" s="586">
        <v>1647579.16</v>
      </c>
      <c r="I51" s="635">
        <v>703038.73</v>
      </c>
      <c r="J51" s="537">
        <f>K51-I51</f>
        <v>536961.27</v>
      </c>
      <c r="K51" s="617">
        <v>1240000</v>
      </c>
      <c r="L51" s="533">
        <v>900000</v>
      </c>
    </row>
    <row r="52" spans="1:13" customHeight="1" ht="15.95" s="2" customFormat="1">
      <c r="C52" s="28" t="s">
        <v>566</v>
      </c>
      <c r="D52" s="9"/>
      <c r="E52" s="9"/>
      <c r="F52" s="9"/>
      <c r="G52" s="213"/>
      <c r="H52" s="541">
        <v>0</v>
      </c>
      <c r="I52" s="541">
        <v>0</v>
      </c>
      <c r="J52" s="541">
        <v>0</v>
      </c>
      <c r="K52" s="541">
        <v>0</v>
      </c>
      <c r="L52" s="557">
        <v>0</v>
      </c>
    </row>
    <row r="53" spans="1:13" customHeight="1" ht="15.95" s="626" customFormat="1">
      <c r="A53" s="6" t="s">
        <v>160</v>
      </c>
      <c r="B53" s="6"/>
      <c r="C53" s="6"/>
      <c r="D53" s="6"/>
      <c r="E53" s="6"/>
      <c r="F53" s="6"/>
      <c r="G53" s="253"/>
      <c r="H53" s="627">
        <f>SUM(H36:H52)</f>
        <v>2440400.47</v>
      </c>
      <c r="I53" s="627">
        <f>SUM(I36:I52)</f>
        <v>880450.4</v>
      </c>
      <c r="J53" s="627">
        <f>SUM(J36:J52)</f>
        <v>1422549.6</v>
      </c>
      <c r="K53" s="627">
        <f>SUM(K36:K52)</f>
        <v>2303000</v>
      </c>
      <c r="L53" s="713">
        <f>SUM(L36:L52)</f>
        <v>1843000</v>
      </c>
    </row>
    <row r="54" spans="1:13" customHeight="1" ht="15.95" s="626" customFormat="1">
      <c r="A54" s="6" t="s">
        <v>161</v>
      </c>
      <c r="B54" s="6"/>
      <c r="C54" s="6"/>
      <c r="D54" s="6"/>
      <c r="E54" s="6"/>
      <c r="F54" s="6"/>
      <c r="G54" s="712"/>
      <c r="H54" s="627">
        <f>+H53+H34</f>
        <v>7996537.21</v>
      </c>
      <c r="I54" s="627">
        <f>+I53+I34</f>
        <v>3614050.68</v>
      </c>
      <c r="J54" s="627">
        <f>+J53+J34</f>
        <v>5426957.4</v>
      </c>
      <c r="K54" s="627">
        <f>+K53+K34</f>
        <v>9041008.08</v>
      </c>
      <c r="L54" s="713">
        <f>+L53+L34</f>
        <v>8767767.18</v>
      </c>
    </row>
    <row r="55" spans="1:13" customHeight="1" ht="15.95" s="626" customFormat="1">
      <c r="A55" s="543"/>
      <c r="B55" s="543"/>
      <c r="C55" s="543"/>
      <c r="D55" s="543"/>
      <c r="E55" s="543"/>
      <c r="F55" s="543"/>
      <c r="G55" s="714"/>
      <c r="H55" s="546"/>
      <c r="I55" s="546"/>
      <c r="J55" s="546"/>
      <c r="K55" s="546"/>
      <c r="L55" s="624"/>
    </row>
    <row r="56" spans="1:13" customHeight="1" ht="18" s="531" customFormat="1">
      <c r="A56" s="706" t="s">
        <v>162</v>
      </c>
      <c r="B56" s="706"/>
      <c r="C56" s="15"/>
      <c r="D56" s="15"/>
      <c r="E56" s="15"/>
      <c r="F56" s="15"/>
      <c r="G56" s="213"/>
      <c r="H56" s="586"/>
      <c r="I56" s="586"/>
      <c r="J56" s="586"/>
      <c r="K56" s="527"/>
      <c r="L56" s="1009"/>
    </row>
    <row r="57" spans="1:13" customHeight="1" ht="18" s="1016" customFormat="1">
      <c r="A57" s="580"/>
      <c r="B57" s="580"/>
      <c r="C57" s="5" t="s">
        <v>163</v>
      </c>
      <c r="D57" s="14"/>
      <c r="E57" s="14"/>
      <c r="F57" s="15"/>
      <c r="G57" s="213" t="s">
        <v>164</v>
      </c>
      <c r="H57" s="1014">
        <v>0</v>
      </c>
      <c r="I57" s="1014">
        <v>0</v>
      </c>
      <c r="J57" s="645">
        <f>K57-I57</f>
        <v>145000</v>
      </c>
      <c r="K57" s="1015">
        <v>145000</v>
      </c>
      <c r="L57" s="1013">
        <v>25000</v>
      </c>
    </row>
    <row r="58" spans="1:13" customHeight="1" ht="18" s="1016" customFormat="1">
      <c r="A58" s="580"/>
      <c r="B58" s="580"/>
      <c r="C58" s="5" t="s">
        <v>248</v>
      </c>
      <c r="D58" s="14"/>
      <c r="E58" s="14"/>
      <c r="F58" s="15"/>
      <c r="G58" s="213" t="s">
        <v>167</v>
      </c>
      <c r="H58" s="1017">
        <v>0</v>
      </c>
      <c r="I58" s="1017">
        <v>48210</v>
      </c>
      <c r="J58" s="537">
        <f>K58-I58</f>
        <v>141790</v>
      </c>
      <c r="K58" s="616">
        <v>190000</v>
      </c>
      <c r="L58" s="650">
        <v>25000</v>
      </c>
    </row>
    <row r="59" spans="1:13" customHeight="1" ht="18" s="1016" customFormat="1">
      <c r="A59" s="580"/>
      <c r="B59" s="580"/>
      <c r="C59" s="5" t="s">
        <v>168</v>
      </c>
      <c r="D59" s="14"/>
      <c r="E59" s="14"/>
      <c r="F59" s="15"/>
      <c r="G59" s="213" t="s">
        <v>169</v>
      </c>
      <c r="H59" s="588">
        <v>1199500</v>
      </c>
      <c r="I59" s="588">
        <v>0</v>
      </c>
      <c r="J59" s="588">
        <v>0</v>
      </c>
      <c r="K59" s="541">
        <v>0</v>
      </c>
      <c r="L59" s="557">
        <v>0</v>
      </c>
    </row>
    <row r="60" spans="1:13" customHeight="1" ht="18" s="550" customFormat="1">
      <c r="A60" s="6" t="s">
        <v>172</v>
      </c>
      <c r="B60" s="6"/>
      <c r="C60" s="6"/>
      <c r="D60" s="6"/>
      <c r="E60" s="6"/>
      <c r="F60" s="6"/>
      <c r="G60" s="243"/>
      <c r="H60" s="578">
        <f>SUM(H57:H59)</f>
        <v>1199500</v>
      </c>
      <c r="I60" s="578">
        <f>SUM(I57:I59)</f>
        <v>48210</v>
      </c>
      <c r="J60" s="578">
        <f>SUM(J57:J59)</f>
        <v>286790</v>
      </c>
      <c r="K60" s="578">
        <f>SUM(K57:K59)</f>
        <v>335000</v>
      </c>
      <c r="L60" s="579">
        <f>SUM(L57:L59)</f>
        <v>50000</v>
      </c>
    </row>
    <row r="61" spans="1:13" customHeight="1" ht="18" s="550" customFormat="1">
      <c r="A61" s="6"/>
      <c r="B61" s="6"/>
      <c r="C61" s="6"/>
      <c r="D61" s="6"/>
      <c r="E61" s="6"/>
      <c r="F61" s="6"/>
      <c r="G61" s="243"/>
      <c r="H61" s="578"/>
      <c r="I61" s="578"/>
      <c r="J61" s="578"/>
      <c r="K61" s="578"/>
      <c r="L61" s="579"/>
    </row>
    <row r="62" spans="1:13" customHeight="1" ht="18" s="550" customFormat="1">
      <c r="A62" s="6" t="s">
        <v>252</v>
      </c>
      <c r="B62" s="6"/>
      <c r="C62" s="6"/>
      <c r="D62" s="6"/>
      <c r="E62" s="6"/>
      <c r="F62" s="6"/>
      <c r="G62" s="243"/>
      <c r="H62" s="1018">
        <f>+H60+H54</f>
        <v>9196037.21</v>
      </c>
      <c r="I62" s="1018">
        <f>+I60+I54</f>
        <v>3662260.68</v>
      </c>
      <c r="J62" s="1018">
        <f>+J60+J54</f>
        <v>5713747.4</v>
      </c>
      <c r="K62" s="1018">
        <f>+K60+K54</f>
        <v>9376008.08</v>
      </c>
      <c r="L62" s="1019">
        <f>+L60+L54</f>
        <v>8817767.18</v>
      </c>
    </row>
    <row r="63" spans="1:13" customHeight="1" ht="18" s="9" customFormat="1">
      <c r="A63" s="876"/>
      <c r="B63" s="876"/>
      <c r="C63" s="73"/>
      <c r="D63" s="73"/>
      <c r="E63" s="73"/>
      <c r="F63" s="73"/>
      <c r="G63" s="720"/>
      <c r="H63" s="720"/>
      <c r="I63" s="720"/>
      <c r="J63" s="720"/>
      <c r="K63" s="262"/>
      <c r="L63" s="813"/>
    </row>
    <row r="64" spans="1:13" customHeight="1" ht="18" s="273" customFormat="1">
      <c r="A64" s="6"/>
      <c r="B64" s="6"/>
      <c r="G64" s="508"/>
      <c r="H64" s="508"/>
    </row>
    <row r="65" spans="1:13" customHeight="1" ht="18" s="9" customFormat="1">
      <c r="A65" s="9" t="s">
        <v>182</v>
      </c>
      <c r="I65" s="509"/>
      <c r="J65" s="509"/>
      <c r="K65" s="509"/>
      <c r="L65" s="509"/>
    </row>
    <row r="66" spans="1:13" customHeight="1" ht="18" s="9" customFormat="1">
      <c r="G66" s="510"/>
      <c r="H66" s="510"/>
      <c r="I66" s="510"/>
      <c r="J66" s="510"/>
      <c r="K66" s="510"/>
      <c r="L66" s="510"/>
    </row>
    <row r="67" spans="1:13" customHeight="1" ht="18" s="9" customFormat="1">
      <c r="A67" s="1493" t="s">
        <v>183</v>
      </c>
      <c r="B67" s="1493"/>
      <c r="C67" s="1493"/>
      <c r="D67" s="511"/>
      <c r="E67" s="511"/>
      <c r="F67" s="512" t="s">
        <v>184</v>
      </c>
      <c r="G67" s="509"/>
      <c r="H67" s="509"/>
      <c r="I67" s="509"/>
      <c r="J67" s="510" t="s">
        <v>185</v>
      </c>
      <c r="K67" s="1494"/>
      <c r="L67" s="1494"/>
    </row>
    <row r="68" spans="1:13" customHeight="1" ht="18" s="9" customFormat="1"/>
    <row r="69" spans="1:13" customHeight="1" ht="18" s="9" customFormat="1"/>
    <row r="70" spans="1:13" customHeight="1" ht="18" s="11" customFormat="1">
      <c r="A70" s="1489" t="s">
        <v>567</v>
      </c>
      <c r="B70" s="1489"/>
      <c r="C70" s="1489"/>
      <c r="D70" s="1489"/>
      <c r="E70" s="1489"/>
      <c r="F70" s="1489" t="s">
        <v>187</v>
      </c>
      <c r="G70" s="1489"/>
      <c r="H70" s="1489"/>
      <c r="I70" s="1489"/>
      <c r="J70" s="1489" t="s">
        <v>186</v>
      </c>
      <c r="K70" s="1489"/>
      <c r="L70" s="1489"/>
    </row>
    <row r="71" spans="1:13" customHeight="1" ht="12" s="11" customFormat="1">
      <c r="A71" s="1468" t="s">
        <v>189</v>
      </c>
      <c r="B71" s="1468"/>
      <c r="C71" s="1468"/>
      <c r="D71" s="1468"/>
      <c r="E71" s="1468"/>
      <c r="F71" s="1468" t="s">
        <v>189</v>
      </c>
      <c r="G71" s="1468"/>
      <c r="H71" s="1468"/>
      <c r="I71" s="1468"/>
      <c r="J71" s="1468" t="s">
        <v>188</v>
      </c>
      <c r="K71" s="1468"/>
      <c r="L71" s="1468"/>
    </row>
    <row r="72" spans="1:13" customHeight="1" ht="12" s="9" customFormat="1">
      <c r="A72" s="1468" t="s">
        <v>568</v>
      </c>
      <c r="B72" s="1468"/>
      <c r="C72" s="1468"/>
      <c r="D72" s="1468"/>
      <c r="E72" s="1468"/>
      <c r="F72" s="1468" t="s">
        <v>190</v>
      </c>
      <c r="G72" s="1468"/>
      <c r="H72" s="1468"/>
      <c r="I72" s="1468"/>
      <c r="J72" s="1468"/>
      <c r="K72" s="1468"/>
      <c r="L72" s="1468"/>
    </row>
    <row r="73" spans="1:13" customHeight="1" ht="14.45" s="9" customFormat="1">
      <c r="A73" s="7"/>
      <c r="G73" s="591"/>
      <c r="H73" s="591"/>
      <c r="I73" s="591"/>
      <c r="J73" s="591"/>
      <c r="K73" s="591"/>
      <c r="L73" s="591"/>
    </row>
    <row r="74" spans="1:13" customHeight="1" ht="15.95" s="9" customFormat="1">
      <c r="A74" s="7"/>
      <c r="B74" s="7"/>
      <c r="G74" s="591"/>
      <c r="H74" s="591"/>
      <c r="I74" s="591"/>
      <c r="J74" s="591"/>
      <c r="L74" s="533"/>
    </row>
    <row r="75" spans="1:13" customHeight="1" ht="14.25" s="4" customFormat="1">
      <c r="A75" s="11"/>
      <c r="B75" s="11"/>
      <c r="C75" s="11"/>
      <c r="D75" s="11"/>
      <c r="E75" s="11"/>
      <c r="G75" s="593"/>
      <c r="H75" s="594"/>
      <c r="I75" s="594"/>
      <c r="J75" s="594"/>
      <c r="K75" s="594"/>
      <c r="L75" s="59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1:E71"/>
    <mergeCell ref="F71:I71"/>
    <mergeCell ref="J71:L71"/>
    <mergeCell ref="A72:E72"/>
    <mergeCell ref="F72:I72"/>
    <mergeCell ref="J72:L72"/>
    <mergeCell ref="A15:F15"/>
    <mergeCell ref="A67:C67"/>
    <mergeCell ref="K67:L67"/>
    <mergeCell ref="A70:E70"/>
    <mergeCell ref="F70:I70"/>
    <mergeCell ref="J70:L70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1"/>
  <sheetViews>
    <sheetView tabSelected="0" workbookViewId="0" view="pageBreakPreview" showGridLines="false" showRowColHeaders="1">
      <selection activeCell="K83" sqref="K83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1.140625" customWidth="true" style="9"/>
    <col min="6" max="6" width="12.7109375" customWidth="true" style="9"/>
    <col min="7" max="7" width="12.7109375" customWidth="true" style="9"/>
    <col min="8" max="8" width="16.7109375" customWidth="true" style="9"/>
    <col min="9" max="9" width="16.7109375" customWidth="true" style="11"/>
    <col min="10" max="10" width="16.7109375" customWidth="true" style="11"/>
    <col min="11" max="11" width="16.7109375" customWidth="true" style="11"/>
    <col min="12" max="12" width="16.7109375" customWidth="true" style="11"/>
  </cols>
  <sheetData>
    <row r="1" spans="1:12" customHeight="1" ht="9.95" s="173" customFormat="1">
      <c r="A1" s="173" t="s">
        <v>0</v>
      </c>
      <c r="J1" s="174"/>
      <c r="L1" s="175"/>
    </row>
    <row r="2" spans="1:12" customHeight="1" ht="9.95" s="173" customFormat="1">
      <c r="A2" s="173" t="s">
        <v>1</v>
      </c>
      <c r="J2" s="174"/>
      <c r="L2" s="175"/>
    </row>
    <row r="3" spans="1:12" customHeight="1" ht="9.95" s="173" customFormat="1">
      <c r="A3" s="173" t="s">
        <v>2</v>
      </c>
      <c r="J3" s="174"/>
      <c r="L3" s="175"/>
    </row>
    <row r="4" spans="1:12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2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2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2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2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569</v>
      </c>
    </row>
    <row r="9" spans="1:12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78"/>
    </row>
    <row r="10" spans="1:12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2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2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2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2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2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2" customHeight="1" ht="18" s="11" customFormat="1">
      <c r="A16" s="696" t="s">
        <v>24</v>
      </c>
      <c r="B16" s="696"/>
      <c r="C16" s="696"/>
      <c r="D16" s="696"/>
      <c r="E16" s="696"/>
      <c r="F16" s="696"/>
      <c r="G16" s="1020"/>
      <c r="H16" s="1021"/>
      <c r="J16" s="801"/>
      <c r="K16" s="801"/>
    </row>
    <row r="17" spans="1:12" customHeight="1" ht="18" s="16" customFormat="1">
      <c r="A17" s="20" t="s">
        <v>316</v>
      </c>
      <c r="B17" s="20"/>
      <c r="C17" s="17"/>
      <c r="D17" s="17"/>
      <c r="E17" s="17"/>
      <c r="F17" s="17"/>
      <c r="G17" s="206"/>
      <c r="H17" s="207"/>
      <c r="J17" s="206"/>
      <c r="K17" s="206"/>
      <c r="L17" s="186"/>
    </row>
    <row r="18" spans="1:12" customHeight="1" ht="18" s="2" customFormat="1">
      <c r="B18" s="9" t="s">
        <v>26</v>
      </c>
      <c r="C18" s="9"/>
      <c r="D18" s="9"/>
      <c r="E18" s="9"/>
      <c r="F18" s="9"/>
      <c r="G18" s="213" t="s">
        <v>27</v>
      </c>
      <c r="H18" s="1022">
        <v>1250788</v>
      </c>
      <c r="I18" s="1023">
        <v>572090</v>
      </c>
      <c r="J18" s="1022">
        <f>K18-I18</f>
        <v>690298</v>
      </c>
      <c r="K18" s="1022">
        <v>1262388</v>
      </c>
      <c r="L18" s="1023">
        <v>1271268</v>
      </c>
    </row>
    <row r="19" spans="1:12" customHeight="1" ht="18" s="2" customFormat="1">
      <c r="B19" s="9" t="s">
        <v>28</v>
      </c>
      <c r="C19" s="9"/>
      <c r="D19" s="9"/>
      <c r="E19" s="9"/>
      <c r="F19" s="9"/>
      <c r="G19" s="213" t="s">
        <v>29</v>
      </c>
      <c r="H19" s="1024">
        <v>48000</v>
      </c>
      <c r="I19" s="190">
        <v>24000</v>
      </c>
      <c r="J19" s="249">
        <f>K19-I19</f>
        <v>24000</v>
      </c>
      <c r="K19" s="216">
        <v>48000</v>
      </c>
      <c r="L19" s="190">
        <v>48000</v>
      </c>
    </row>
    <row r="20" spans="1:12" customHeight="1" ht="18" s="2" customFormat="1">
      <c r="B20" s="9" t="s">
        <v>30</v>
      </c>
      <c r="C20" s="9"/>
      <c r="D20" s="9"/>
      <c r="E20" s="9"/>
      <c r="F20" s="9"/>
      <c r="G20" s="213" t="s">
        <v>31</v>
      </c>
      <c r="H20" s="1024">
        <v>74250</v>
      </c>
      <c r="I20" s="190">
        <v>40500</v>
      </c>
      <c r="J20" s="249">
        <f>K20-I20</f>
        <v>40500</v>
      </c>
      <c r="K20" s="216">
        <v>81000</v>
      </c>
      <c r="L20" s="190">
        <v>81000</v>
      </c>
    </row>
    <row r="21" spans="1:12" customHeight="1" ht="18" s="2" customFormat="1">
      <c r="B21" s="9" t="s">
        <v>32</v>
      </c>
      <c r="C21" s="9"/>
      <c r="D21" s="9"/>
      <c r="E21" s="9"/>
      <c r="F21" s="9"/>
      <c r="G21" s="213" t="s">
        <v>33</v>
      </c>
      <c r="H21" s="1024">
        <v>67500</v>
      </c>
      <c r="I21" s="190">
        <v>40500</v>
      </c>
      <c r="J21" s="249">
        <f>K21-I21</f>
        <v>40500</v>
      </c>
      <c r="K21" s="216">
        <v>81000</v>
      </c>
      <c r="L21" s="190">
        <v>81000</v>
      </c>
    </row>
    <row r="22" spans="1:12" customHeight="1" ht="18" s="2" customFormat="1">
      <c r="B22" s="9" t="s">
        <v>34</v>
      </c>
      <c r="C22" s="9"/>
      <c r="D22" s="9"/>
      <c r="E22" s="9"/>
      <c r="F22" s="9"/>
      <c r="G22" s="213" t="s">
        <v>35</v>
      </c>
      <c r="H22" s="1024">
        <v>12000</v>
      </c>
      <c r="I22" s="190">
        <v>12000</v>
      </c>
      <c r="J22" s="249">
        <f>K22-I22</f>
        <v>0</v>
      </c>
      <c r="K22" s="216">
        <v>12000</v>
      </c>
      <c r="L22" s="190">
        <v>12000</v>
      </c>
    </row>
    <row r="23" spans="1:12" customHeight="1" ht="18" s="2" customFormat="1">
      <c r="B23" s="9" t="s">
        <v>38</v>
      </c>
      <c r="C23" s="9"/>
      <c r="D23" s="9"/>
      <c r="E23" s="9"/>
      <c r="F23" s="9"/>
      <c r="G23" s="213" t="s">
        <v>39</v>
      </c>
      <c r="H23" s="1024">
        <v>102949</v>
      </c>
      <c r="I23" s="190">
        <v>0</v>
      </c>
      <c r="J23" s="249">
        <f>K23-I23</f>
        <v>105199</v>
      </c>
      <c r="K23" s="216">
        <v>105199</v>
      </c>
      <c r="L23" s="190">
        <v>105939</v>
      </c>
    </row>
    <row r="24" spans="1:12" customHeight="1" ht="18" s="2" customFormat="1">
      <c r="B24" s="9" t="s">
        <v>40</v>
      </c>
      <c r="C24" s="9"/>
      <c r="D24" s="9"/>
      <c r="E24" s="9"/>
      <c r="F24" s="9"/>
      <c r="G24" s="213" t="s">
        <v>41</v>
      </c>
      <c r="H24" s="1024">
        <v>10000</v>
      </c>
      <c r="I24" s="190">
        <v>0</v>
      </c>
      <c r="J24" s="249">
        <f>K24-I24</f>
        <v>10000</v>
      </c>
      <c r="K24" s="216">
        <v>10000</v>
      </c>
      <c r="L24" s="190">
        <v>10000</v>
      </c>
    </row>
    <row r="25" spans="1:12" customHeight="1" ht="18" s="2" customFormat="1">
      <c r="A25" s="9"/>
      <c r="B25" s="9" t="s">
        <v>42</v>
      </c>
      <c r="C25" s="55"/>
      <c r="D25" s="55"/>
      <c r="E25" s="55"/>
      <c r="F25" s="55"/>
      <c r="G25" s="213" t="s">
        <v>43</v>
      </c>
      <c r="H25" s="1024">
        <v>112949</v>
      </c>
      <c r="I25" s="190">
        <v>105199</v>
      </c>
      <c r="J25" s="249">
        <f>K25-I25</f>
        <v>10000</v>
      </c>
      <c r="K25" s="216">
        <v>115199</v>
      </c>
      <c r="L25" s="190">
        <f>SUM(F26:F27)</f>
        <v>115939</v>
      </c>
    </row>
    <row r="26" spans="1:12" customHeight="1" ht="18" s="2" customFormat="1">
      <c r="A26" s="9"/>
      <c r="B26" s="29" t="s">
        <v>44</v>
      </c>
      <c r="C26" s="55"/>
      <c r="D26" s="55"/>
      <c r="E26" s="55"/>
      <c r="F26" s="55">
        <f>L23</f>
        <v>105939</v>
      </c>
      <c r="G26" s="213"/>
      <c r="H26" s="1024"/>
      <c r="I26" s="190"/>
      <c r="J26" s="249"/>
      <c r="K26" s="216"/>
      <c r="L26" s="190"/>
    </row>
    <row r="27" spans="1:12" customHeight="1" ht="18" s="2" customFormat="1">
      <c r="A27" s="9"/>
      <c r="B27" s="29" t="s">
        <v>45</v>
      </c>
      <c r="C27" s="55"/>
      <c r="D27" s="55"/>
      <c r="E27" s="55"/>
      <c r="F27" s="56">
        <f>L24</f>
        <v>10000</v>
      </c>
      <c r="G27" s="213"/>
      <c r="H27" s="1024"/>
      <c r="I27" s="190"/>
      <c r="J27" s="249"/>
      <c r="K27" s="216"/>
      <c r="L27" s="190"/>
    </row>
    <row r="28" spans="1:12" customHeight="1" ht="18" s="2" customFormat="1">
      <c r="B28" s="9" t="s">
        <v>46</v>
      </c>
      <c r="C28" s="9"/>
      <c r="D28" s="9"/>
      <c r="E28" s="9"/>
      <c r="F28" s="9"/>
      <c r="G28" s="213" t="s">
        <v>47</v>
      </c>
      <c r="H28" s="1024">
        <v>129722.52</v>
      </c>
      <c r="I28" s="190">
        <v>75743.28</v>
      </c>
      <c r="J28" s="249">
        <f>K28-I28</f>
        <v>75743.28</v>
      </c>
      <c r="K28" s="216">
        <v>151486.56</v>
      </c>
      <c r="L28" s="190">
        <v>152552.16</v>
      </c>
    </row>
    <row r="29" spans="1:12" customHeight="1" ht="18" s="2" customFormat="1">
      <c r="B29" s="9" t="s">
        <v>48</v>
      </c>
      <c r="C29" s="9"/>
      <c r="D29" s="9"/>
      <c r="E29" s="9"/>
      <c r="F29" s="9"/>
      <c r="G29" s="213" t="s">
        <v>49</v>
      </c>
      <c r="H29" s="1024">
        <v>2400</v>
      </c>
      <c r="I29" s="276">
        <v>1100</v>
      </c>
      <c r="J29" s="249">
        <f>K29-I29</f>
        <v>1300</v>
      </c>
      <c r="K29" s="1024">
        <v>2400</v>
      </c>
      <c r="L29" s="276">
        <v>2400</v>
      </c>
    </row>
    <row r="30" spans="1:12" customHeight="1" ht="18" s="2" customFormat="1">
      <c r="B30" s="9" t="s">
        <v>50</v>
      </c>
      <c r="C30" s="9"/>
      <c r="D30" s="9"/>
      <c r="E30" s="9"/>
      <c r="F30" s="9"/>
      <c r="G30" s="213" t="s">
        <v>51</v>
      </c>
      <c r="H30" s="1024">
        <v>17324.79</v>
      </c>
      <c r="I30" s="190">
        <v>6555.54</v>
      </c>
      <c r="J30" s="249">
        <f>K30-I30</f>
        <v>15766.62</v>
      </c>
      <c r="K30" s="216">
        <v>22322.16</v>
      </c>
      <c r="L30" s="190">
        <v>27949.86</v>
      </c>
    </row>
    <row r="31" spans="1:12" customHeight="1" ht="18" s="2" customFormat="1">
      <c r="B31" s="33" t="s">
        <v>52</v>
      </c>
      <c r="C31" s="9"/>
      <c r="D31" s="9"/>
      <c r="E31" s="9"/>
      <c r="F31" s="9"/>
      <c r="G31" s="208" t="s">
        <v>53</v>
      </c>
      <c r="H31" s="237">
        <v>2400</v>
      </c>
      <c r="I31" s="187">
        <v>1200</v>
      </c>
      <c r="J31" s="249">
        <f>K31-I31</f>
        <v>1200</v>
      </c>
      <c r="K31" s="211">
        <v>2400</v>
      </c>
      <c r="L31" s="187">
        <v>2400</v>
      </c>
    </row>
    <row r="32" spans="1:12" customHeight="1" ht="18" s="40" customFormat="1">
      <c r="B32" s="33" t="s">
        <v>58</v>
      </c>
      <c r="C32" s="33"/>
      <c r="D32" s="33"/>
      <c r="E32" s="33"/>
      <c r="F32" s="33"/>
      <c r="G32" s="208" t="s">
        <v>59</v>
      </c>
      <c r="H32" s="289">
        <v>50000</v>
      </c>
      <c r="I32" s="191">
        <v>0</v>
      </c>
      <c r="J32" s="251">
        <f>K32-I32</f>
        <v>0</v>
      </c>
      <c r="K32" s="218">
        <v>0</v>
      </c>
      <c r="L32" s="191">
        <v>0</v>
      </c>
    </row>
    <row r="33" spans="1:12" customHeight="1" ht="18" s="19" customFormat="1">
      <c r="A33" s="263" t="s">
        <v>256</v>
      </c>
      <c r="B33" s="263"/>
      <c r="C33" s="263"/>
      <c r="D33" s="263"/>
      <c r="E33" s="263"/>
      <c r="F33" s="263"/>
      <c r="G33" s="264"/>
      <c r="H33" s="297">
        <f>SUM(H18:H32)</f>
        <v>1880283.31</v>
      </c>
      <c r="I33" s="298">
        <f>SUM(I18:I32)</f>
        <v>878887.82</v>
      </c>
      <c r="J33" s="297">
        <f>SUM(J18:J32)</f>
        <v>1014506.9</v>
      </c>
      <c r="K33" s="297">
        <f>SUM(K18:K32)</f>
        <v>1893394.72</v>
      </c>
      <c r="L33" s="1025">
        <f>SUM(L18:L32)</f>
        <v>1910448.02</v>
      </c>
    </row>
    <row r="34" spans="1:12" customHeight="1" ht="21" s="1027" customFormat="1">
      <c r="A34" s="59" t="s">
        <v>62</v>
      </c>
      <c r="B34" s="70"/>
      <c r="C34" s="24"/>
      <c r="D34" s="24"/>
      <c r="E34" s="24"/>
      <c r="F34" s="24"/>
      <c r="G34" s="1026"/>
      <c r="H34" s="1026"/>
      <c r="J34" s="1028"/>
      <c r="K34" s="1028"/>
    </row>
    <row r="35" spans="1:12" customHeight="1" ht="21" s="2" customFormat="1">
      <c r="B35" s="9" t="s">
        <v>63</v>
      </c>
      <c r="C35" s="9"/>
      <c r="D35" s="9"/>
      <c r="E35" s="9"/>
      <c r="F35" s="9"/>
      <c r="G35" s="238" t="s">
        <v>64</v>
      </c>
      <c r="H35" s="1022">
        <v>3300</v>
      </c>
      <c r="I35" s="1029">
        <v>41060</v>
      </c>
      <c r="J35" s="1022">
        <f>K35-I35</f>
        <v>58940</v>
      </c>
      <c r="K35" s="1030">
        <v>100000</v>
      </c>
      <c r="L35" s="1029">
        <v>100000</v>
      </c>
    </row>
    <row r="36" spans="1:12" customHeight="1" ht="21" s="2" customFormat="1">
      <c r="B36" s="9" t="s">
        <v>72</v>
      </c>
      <c r="C36" s="9"/>
      <c r="D36" s="9"/>
      <c r="E36" s="9"/>
      <c r="F36" s="9"/>
      <c r="G36" s="238" t="s">
        <v>73</v>
      </c>
      <c r="H36" s="214">
        <v>0</v>
      </c>
      <c r="I36" s="23">
        <v>0</v>
      </c>
      <c r="J36" s="249">
        <f>K36-I36</f>
        <v>40000</v>
      </c>
      <c r="K36" s="231">
        <v>40000</v>
      </c>
      <c r="L36" s="23">
        <v>40000</v>
      </c>
    </row>
    <row r="37" spans="1:12" customHeight="1" ht="21" s="2" customFormat="1">
      <c r="B37" s="9" t="s">
        <v>76</v>
      </c>
      <c r="C37" s="9"/>
      <c r="D37" s="9"/>
      <c r="E37" s="9"/>
      <c r="F37" s="9"/>
      <c r="G37" s="238" t="s">
        <v>77</v>
      </c>
      <c r="H37" s="214">
        <v>29958</v>
      </c>
      <c r="I37" s="23">
        <v>0</v>
      </c>
      <c r="J37" s="249">
        <f>K37-I37</f>
        <v>80000</v>
      </c>
      <c r="K37" s="231">
        <v>80000</v>
      </c>
      <c r="L37" s="23">
        <v>80000</v>
      </c>
    </row>
    <row r="38" spans="1:12" customHeight="1" ht="21" s="2" customFormat="1">
      <c r="B38" s="9" t="s">
        <v>235</v>
      </c>
      <c r="C38" s="9"/>
      <c r="D38" s="9"/>
      <c r="E38" s="9"/>
      <c r="F38" s="9"/>
      <c r="G38" s="238" t="s">
        <v>80</v>
      </c>
      <c r="H38" s="214">
        <v>72916.68</v>
      </c>
      <c r="I38" s="23">
        <v>51140</v>
      </c>
      <c r="J38" s="249">
        <f>K38-I38</f>
        <v>68860</v>
      </c>
      <c r="K38" s="231">
        <v>120000</v>
      </c>
      <c r="L38" s="23">
        <v>120000</v>
      </c>
    </row>
    <row r="39" spans="1:12" customHeight="1" ht="21" s="2" customFormat="1">
      <c r="B39" s="9" t="s">
        <v>263</v>
      </c>
      <c r="C39" s="9"/>
      <c r="D39" s="9"/>
      <c r="E39" s="9"/>
      <c r="F39" s="9"/>
      <c r="G39" s="238" t="s">
        <v>96</v>
      </c>
      <c r="H39" s="214">
        <v>31250.17</v>
      </c>
      <c r="I39" s="23">
        <v>21368.81</v>
      </c>
      <c r="J39" s="249">
        <f>K39-I39</f>
        <v>22631.19</v>
      </c>
      <c r="K39" s="231">
        <v>44000</v>
      </c>
      <c r="L39" s="23">
        <v>44000</v>
      </c>
    </row>
    <row r="40" spans="1:12" customHeight="1" ht="21" s="2" customFormat="1">
      <c r="B40" s="9" t="s">
        <v>570</v>
      </c>
      <c r="C40" s="9"/>
      <c r="D40" s="9"/>
      <c r="E40" s="9"/>
      <c r="F40" s="1031"/>
      <c r="G40" s="238" t="s">
        <v>100</v>
      </c>
      <c r="H40" s="214">
        <v>0</v>
      </c>
      <c r="I40" s="23">
        <v>0</v>
      </c>
      <c r="J40" s="249">
        <f>K40-I40</f>
        <v>20000</v>
      </c>
      <c r="K40" s="231">
        <v>20000</v>
      </c>
      <c r="L40" s="23">
        <v>20000</v>
      </c>
    </row>
    <row r="41" spans="1:12" customHeight="1" ht="21" s="2" customFormat="1">
      <c r="A41" s="9" t="s">
        <v>571</v>
      </c>
      <c r="B41" s="9" t="s">
        <v>240</v>
      </c>
      <c r="C41" s="9"/>
      <c r="D41" s="9"/>
      <c r="E41" s="9"/>
      <c r="F41" s="9"/>
      <c r="G41" s="238" t="s">
        <v>125</v>
      </c>
      <c r="H41" s="214">
        <v>7500</v>
      </c>
      <c r="I41" s="23">
        <v>0</v>
      </c>
      <c r="J41" s="249">
        <f>K41-I41</f>
        <v>10000</v>
      </c>
      <c r="K41" s="231">
        <v>10000</v>
      </c>
      <c r="L41" s="23">
        <v>10000</v>
      </c>
    </row>
    <row r="42" spans="1:12" customHeight="1" ht="21" s="2" customFormat="1">
      <c r="A42" s="9" t="s">
        <v>572</v>
      </c>
      <c r="B42" s="9" t="s">
        <v>142</v>
      </c>
      <c r="C42" s="9"/>
      <c r="D42" s="9"/>
      <c r="E42" s="9"/>
      <c r="F42" s="9"/>
      <c r="G42" s="238" t="s">
        <v>143</v>
      </c>
      <c r="H42" s="214">
        <v>18528.48</v>
      </c>
      <c r="I42" s="1032">
        <v>0</v>
      </c>
      <c r="J42" s="249">
        <f>K42-I42</f>
        <v>70000</v>
      </c>
      <c r="K42" s="214">
        <v>70000</v>
      </c>
      <c r="L42" s="1032">
        <v>70000</v>
      </c>
    </row>
    <row r="43" spans="1:12" customHeight="1" ht="21" s="2" customFormat="1">
      <c r="A43" s="9"/>
      <c r="B43" s="9" t="s">
        <v>150</v>
      </c>
      <c r="C43" s="9"/>
      <c r="D43" s="9"/>
      <c r="E43" s="9"/>
      <c r="F43" s="9"/>
      <c r="G43" s="238" t="s">
        <v>107</v>
      </c>
      <c r="H43" s="214">
        <v>122800</v>
      </c>
      <c r="I43" s="1032">
        <v>74783.75</v>
      </c>
      <c r="J43" s="249">
        <f>K43-I43</f>
        <v>148616.25</v>
      </c>
      <c r="K43" s="214">
        <v>223400</v>
      </c>
      <c r="L43" s="1032">
        <v>150000</v>
      </c>
    </row>
    <row r="44" spans="1:12" customHeight="1" ht="21" s="2" customFormat="1">
      <c r="A44" s="9"/>
      <c r="B44" s="28" t="s">
        <v>573</v>
      </c>
      <c r="C44" s="9"/>
      <c r="D44" s="9"/>
      <c r="E44" s="9"/>
      <c r="F44" s="9"/>
      <c r="G44" s="238"/>
      <c r="H44" s="241">
        <v>0</v>
      </c>
      <c r="I44" s="1033">
        <v>0</v>
      </c>
      <c r="J44" s="241">
        <v>0</v>
      </c>
      <c r="K44" s="241">
        <v>0</v>
      </c>
      <c r="L44" s="1033">
        <v>0</v>
      </c>
    </row>
    <row r="45" spans="1:12" customHeight="1" ht="21" s="19" customFormat="1">
      <c r="A45" s="18" t="s">
        <v>160</v>
      </c>
      <c r="B45" s="18"/>
      <c r="C45" s="18"/>
      <c r="D45" s="18"/>
      <c r="E45" s="18"/>
      <c r="F45" s="18"/>
      <c r="G45" s="219"/>
      <c r="H45" s="1034">
        <f>SUM(H35:H44)</f>
        <v>286253.33</v>
      </c>
      <c r="I45" s="1035">
        <f>SUM(I34:I44)</f>
        <v>188352.56</v>
      </c>
      <c r="J45" s="1034">
        <f>SUM(J34:J44)</f>
        <v>519047.44</v>
      </c>
      <c r="K45" s="1034">
        <f>SUM(K35:K44)</f>
        <v>707400</v>
      </c>
      <c r="L45" s="1036">
        <f>SUM(L35:L44)</f>
        <v>634000</v>
      </c>
    </row>
    <row r="46" spans="1:12" customHeight="1" ht="21" s="1038" customFormat="1">
      <c r="A46" s="1037" t="s">
        <v>161</v>
      </c>
      <c r="B46" s="1037"/>
      <c r="G46" s="1039"/>
      <c r="H46" s="1034">
        <f>+H45+H33</f>
        <v>2166536.64</v>
      </c>
      <c r="I46" s="1035">
        <f>+I45+I33</f>
        <v>1067240.38</v>
      </c>
      <c r="J46" s="1034">
        <f>+J45+J33</f>
        <v>1533554.34</v>
      </c>
      <c r="K46" s="1034">
        <f>+K45+K33</f>
        <v>2600794.72</v>
      </c>
      <c r="L46" s="1035">
        <f>+L45+L33</f>
        <v>2544448.02</v>
      </c>
    </row>
    <row r="47" spans="1:12" customHeight="1" ht="21" s="1038" customFormat="1">
      <c r="A47" s="1040"/>
      <c r="B47" s="1040"/>
      <c r="C47" s="1041"/>
      <c r="D47" s="1041"/>
      <c r="E47" s="1041"/>
      <c r="F47" s="1041"/>
      <c r="G47" s="1042"/>
      <c r="H47" s="297"/>
      <c r="I47" s="298"/>
      <c r="J47" s="297"/>
      <c r="K47" s="297"/>
      <c r="L47" s="298"/>
    </row>
    <row r="48" spans="1:12" customHeight="1" ht="21" s="1038" customFormat="1">
      <c r="A48" s="1037"/>
      <c r="B48" s="1037"/>
      <c r="G48" s="1043"/>
      <c r="H48" s="1035"/>
      <c r="I48" s="1035"/>
      <c r="J48" s="1035"/>
      <c r="K48" s="1035"/>
      <c r="L48" s="1035"/>
    </row>
    <row r="49" spans="1:12" customHeight="1" ht="15" s="1038" customFormat="1">
      <c r="A49" s="1037"/>
      <c r="B49" s="1037"/>
      <c r="G49" s="1043"/>
      <c r="H49" s="1035"/>
      <c r="I49" s="1035"/>
      <c r="J49" s="1035"/>
      <c r="K49" s="1035"/>
      <c r="L49" s="1035"/>
    </row>
    <row r="50" spans="1:12" customHeight="1" ht="17.1" s="1038" customFormat="1">
      <c r="A50" s="1037"/>
      <c r="B50" s="1037"/>
      <c r="G50" s="1039"/>
      <c r="H50" s="1034"/>
      <c r="I50" s="1035"/>
      <c r="J50" s="1034"/>
      <c r="K50" s="1034"/>
      <c r="L50" s="1035"/>
    </row>
    <row r="51" spans="1:12" customHeight="1" ht="17.1" s="1045" customFormat="1">
      <c r="A51" s="59" t="s">
        <v>162</v>
      </c>
      <c r="B51" s="1044"/>
      <c r="G51" s="1046"/>
      <c r="H51" s="1047"/>
      <c r="I51" s="1048"/>
      <c r="J51" s="1047"/>
      <c r="K51" s="1047"/>
      <c r="L51" s="1048"/>
    </row>
    <row r="52" spans="1:12" customHeight="1" ht="17.1" s="2" customFormat="1">
      <c r="B52" s="9" t="s">
        <v>163</v>
      </c>
      <c r="C52" s="9"/>
      <c r="D52" s="9"/>
      <c r="E52" s="9"/>
      <c r="F52" s="9"/>
      <c r="G52" s="238" t="s">
        <v>164</v>
      </c>
      <c r="H52" s="1022">
        <v>0</v>
      </c>
      <c r="I52" s="1029">
        <v>0</v>
      </c>
      <c r="J52" s="1022">
        <f>K52-I52</f>
        <v>154000</v>
      </c>
      <c r="K52" s="1030">
        <v>154000</v>
      </c>
      <c r="L52" s="1029">
        <v>25000</v>
      </c>
    </row>
    <row r="53" spans="1:12" customHeight="1" ht="17.1" s="1038" customFormat="1">
      <c r="A53" s="1037"/>
      <c r="B53" s="9" t="s">
        <v>248</v>
      </c>
      <c r="G53" s="238" t="s">
        <v>167</v>
      </c>
      <c r="H53" s="292">
        <v>0</v>
      </c>
      <c r="I53" s="335">
        <v>0</v>
      </c>
      <c r="J53" s="251">
        <f>K53-I53</f>
        <v>50000</v>
      </c>
      <c r="K53" s="292">
        <v>50000</v>
      </c>
      <c r="L53" s="335">
        <v>25000</v>
      </c>
    </row>
    <row r="54" spans="1:12" customHeight="1" ht="17.1" s="1038" customFormat="1">
      <c r="A54" s="18" t="s">
        <v>172</v>
      </c>
      <c r="B54" s="1037"/>
      <c r="G54" s="1039"/>
      <c r="H54" s="1034">
        <f>H52+H53</f>
        <v>0</v>
      </c>
      <c r="I54" s="1035">
        <f>SUM(I53)</f>
        <v>0</v>
      </c>
      <c r="J54" s="1034">
        <f>SUM(J53)</f>
        <v>50000</v>
      </c>
      <c r="K54" s="1034">
        <f>SUM(K52:K53)</f>
        <v>204000</v>
      </c>
      <c r="L54" s="1035">
        <f>SUM(L52:L53)</f>
        <v>50000</v>
      </c>
    </row>
    <row r="55" spans="1:12" customHeight="1" ht="17.1" s="1038" customFormat="1">
      <c r="A55" s="18"/>
      <c r="B55" s="1037"/>
      <c r="G55" s="1039"/>
      <c r="H55" s="1034"/>
      <c r="I55" s="1035"/>
      <c r="J55" s="1034"/>
      <c r="K55" s="1034"/>
      <c r="L55" s="1035"/>
    </row>
    <row r="56" spans="1:12" customHeight="1" ht="17.1" s="1038" customFormat="1">
      <c r="A56" s="18"/>
      <c r="B56" s="1037"/>
      <c r="G56" s="1039"/>
      <c r="H56" s="1034"/>
      <c r="I56" s="1035"/>
      <c r="J56" s="1034"/>
      <c r="K56" s="1034"/>
      <c r="L56" s="1035"/>
    </row>
    <row r="57" spans="1:12" customHeight="1" ht="17.1" s="388" customFormat="1">
      <c r="A57" s="6" t="s">
        <v>252</v>
      </c>
      <c r="B57" s="6"/>
      <c r="G57" s="213"/>
      <c r="H57" s="1049">
        <f>+H54+H46</f>
        <v>2166536.64</v>
      </c>
      <c r="I57" s="1050">
        <f>+I54+I46</f>
        <v>1067240.38</v>
      </c>
      <c r="J57" s="1049">
        <f>+J54+J46</f>
        <v>1583554.34</v>
      </c>
      <c r="K57" s="1049">
        <f>+K54+K46</f>
        <v>2804794.72</v>
      </c>
      <c r="L57" s="1050">
        <f>+L54+L46</f>
        <v>2594448.02</v>
      </c>
    </row>
    <row r="58" spans="1:12" customHeight="1" ht="17.1" s="273" customFormat="1">
      <c r="A58" s="621"/>
      <c r="B58" s="621"/>
      <c r="C58" s="621"/>
      <c r="D58" s="621"/>
      <c r="E58" s="621"/>
      <c r="F58" s="621"/>
      <c r="G58" s="1051"/>
      <c r="H58" s="1051"/>
      <c r="I58" s="621"/>
      <c r="J58" s="1052"/>
      <c r="K58" s="1052"/>
      <c r="L58" s="621"/>
    </row>
    <row r="59" spans="1:12" customHeight="1" ht="18" s="273" customFormat="1">
      <c r="A59" s="6"/>
      <c r="B59" s="6"/>
      <c r="G59" s="274"/>
      <c r="H59" s="274"/>
    </row>
    <row r="60" spans="1:12" customHeight="1" ht="18" s="9" customFormat="1">
      <c r="A60" s="9" t="s">
        <v>182</v>
      </c>
      <c r="I60" s="275"/>
      <c r="J60" s="275"/>
      <c r="K60" s="275"/>
      <c r="L60" s="275"/>
    </row>
    <row r="61" spans="1:12" customHeight="1" ht="18" s="9" customFormat="1">
      <c r="G61" s="276"/>
      <c r="H61" s="276"/>
      <c r="I61" s="276"/>
      <c r="J61" s="276"/>
      <c r="K61" s="276"/>
      <c r="L61" s="276"/>
    </row>
    <row r="62" spans="1:12" customHeight="1" ht="18" s="9" customFormat="1">
      <c r="A62" s="1487" t="s">
        <v>183</v>
      </c>
      <c r="B62" s="1487"/>
      <c r="C62" s="1487"/>
      <c r="D62" s="277"/>
      <c r="E62" s="277"/>
      <c r="F62" s="278" t="s">
        <v>184</v>
      </c>
      <c r="G62" s="275"/>
      <c r="H62" s="275"/>
      <c r="I62" s="275"/>
      <c r="J62" s="276" t="s">
        <v>185</v>
      </c>
      <c r="K62" s="1488"/>
      <c r="L62" s="1488"/>
    </row>
    <row r="63" spans="1:12" customHeight="1" ht="18" s="9" customFormat="1"/>
    <row r="64" spans="1:12" customHeight="1" ht="18" s="9" customFormat="1"/>
    <row r="65" spans="1:12" customHeight="1" ht="18" s="11" customFormat="1">
      <c r="A65" s="1489" t="s">
        <v>574</v>
      </c>
      <c r="B65" s="1489"/>
      <c r="C65" s="1489"/>
      <c r="D65" s="1489"/>
      <c r="E65" s="1489"/>
      <c r="F65" s="1489" t="s">
        <v>187</v>
      </c>
      <c r="G65" s="1489"/>
      <c r="H65" s="1489"/>
      <c r="I65" s="1489"/>
      <c r="J65" s="1489" t="s">
        <v>186</v>
      </c>
      <c r="K65" s="1489"/>
      <c r="L65" s="1489"/>
    </row>
    <row r="66" spans="1:12" customHeight="1" ht="12" s="11" customFormat="1">
      <c r="A66" s="1468" t="s">
        <v>189</v>
      </c>
      <c r="B66" s="1468"/>
      <c r="C66" s="1468"/>
      <c r="D66" s="1468"/>
      <c r="E66" s="1468"/>
      <c r="F66" s="1468" t="s">
        <v>189</v>
      </c>
      <c r="G66" s="1468"/>
      <c r="H66" s="1468"/>
      <c r="I66" s="1468"/>
      <c r="J66" s="1468" t="s">
        <v>188</v>
      </c>
      <c r="K66" s="1468"/>
      <c r="L66" s="1468"/>
    </row>
    <row r="67" spans="1:12" customHeight="1" ht="12" s="9" customFormat="1">
      <c r="A67" s="1468" t="s">
        <v>575</v>
      </c>
      <c r="B67" s="1468"/>
      <c r="C67" s="1468"/>
      <c r="D67" s="1468"/>
      <c r="E67" s="1468"/>
      <c r="F67" s="1468" t="s">
        <v>190</v>
      </c>
      <c r="G67" s="1468"/>
      <c r="H67" s="1468"/>
      <c r="I67" s="1468"/>
      <c r="J67" s="1468"/>
      <c r="K67" s="1468"/>
      <c r="L67" s="1468"/>
    </row>
    <row r="68" spans="1:12" customHeight="1" ht="18" s="9" customFormat="1"/>
    <row r="69" spans="1:12" customHeight="1" ht="18" s="9" customFormat="1"/>
    <row r="70" spans="1:12" customHeight="1" ht="18" s="9" customFormat="1"/>
    <row r="71" spans="1:12" customHeight="1" ht="18" s="9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6:E66"/>
    <mergeCell ref="F66:I66"/>
    <mergeCell ref="J66:L66"/>
    <mergeCell ref="A67:E67"/>
    <mergeCell ref="F67:I67"/>
    <mergeCell ref="J67:L67"/>
    <mergeCell ref="A15:F15"/>
    <mergeCell ref="A62:C62"/>
    <mergeCell ref="K62:L62"/>
    <mergeCell ref="A65:E65"/>
    <mergeCell ref="F65:I65"/>
    <mergeCell ref="J65:L65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17" footer="0.2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76"/>
  <sheetViews>
    <sheetView tabSelected="0" workbookViewId="0" view="pageBreakPreview" showGridLines="false" showRowColHeaders="1">
      <selection activeCell="F24" sqref="F24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2.7109375" customWidth="true" style="9"/>
    <col min="6" max="6" width="12.7109375" customWidth="true" style="9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9"/>
    <col min="12" max="12" width="16.7109375" customWidth="true" style="533"/>
  </cols>
  <sheetData>
    <row r="1" spans="1:18" customHeight="1" ht="9.95" s="173" customFormat="1">
      <c r="A1" s="173" t="s">
        <v>0</v>
      </c>
      <c r="J1" s="174"/>
      <c r="L1" s="175"/>
    </row>
    <row r="2" spans="1:18" customHeight="1" ht="9.95" s="173" customFormat="1">
      <c r="A2" s="173" t="s">
        <v>1</v>
      </c>
      <c r="J2" s="174"/>
      <c r="L2" s="175"/>
    </row>
    <row r="3" spans="1:18" customHeight="1" ht="9.95" s="173" customFormat="1">
      <c r="A3" s="173" t="s">
        <v>2</v>
      </c>
      <c r="J3" s="174"/>
      <c r="L3" s="175"/>
    </row>
    <row r="4" spans="1:18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8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8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8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8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576</v>
      </c>
    </row>
    <row r="9" spans="1:18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18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8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8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8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8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8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8" customHeight="1" ht="18" s="1054" customFormat="1">
      <c r="A16" s="696" t="s">
        <v>24</v>
      </c>
      <c r="B16" s="696"/>
      <c r="C16" s="696"/>
      <c r="D16" s="696"/>
      <c r="E16" s="696"/>
      <c r="F16" s="696"/>
      <c r="G16" s="1020"/>
      <c r="H16" s="1053"/>
      <c r="I16" s="1053"/>
      <c r="J16" s="1053"/>
      <c r="K16" s="801"/>
      <c r="L16" s="598"/>
    </row>
    <row r="17" spans="1:18" customHeight="1" ht="18" s="1054" customFormat="1">
      <c r="A17" s="59" t="s">
        <v>25</v>
      </c>
      <c r="B17" s="696"/>
      <c r="C17" s="696"/>
      <c r="D17" s="696"/>
      <c r="E17" s="696"/>
      <c r="F17" s="696"/>
      <c r="G17" s="801"/>
      <c r="H17" s="1055"/>
      <c r="I17" s="1055"/>
      <c r="J17" s="1055"/>
      <c r="K17" s="801"/>
      <c r="L17" s="552"/>
    </row>
    <row r="18" spans="1:18" customHeight="1" ht="18" s="2" customFormat="1">
      <c r="B18" s="9" t="s">
        <v>26</v>
      </c>
      <c r="C18" s="9"/>
      <c r="D18" s="9"/>
      <c r="E18" s="9"/>
      <c r="F18" s="9"/>
      <c r="G18" s="213" t="s">
        <v>27</v>
      </c>
      <c r="H18" s="645">
        <v>1407728</v>
      </c>
      <c r="I18" s="645">
        <v>722862</v>
      </c>
      <c r="J18" s="645">
        <f>K18-I18</f>
        <v>1509006</v>
      </c>
      <c r="K18" s="645">
        <v>2231868</v>
      </c>
      <c r="L18" s="1056">
        <v>2264736</v>
      </c>
    </row>
    <row r="19" spans="1:18" customHeight="1" ht="18" s="2" customFormat="1">
      <c r="B19" s="9" t="s">
        <v>28</v>
      </c>
      <c r="C19" s="9"/>
      <c r="D19" s="9"/>
      <c r="E19" s="9"/>
      <c r="F19" s="9"/>
      <c r="G19" s="213" t="s">
        <v>29</v>
      </c>
      <c r="H19" s="666">
        <v>72000</v>
      </c>
      <c r="I19" s="616">
        <v>36000</v>
      </c>
      <c r="J19" s="666">
        <f>K19-I19</f>
        <v>132000</v>
      </c>
      <c r="K19" s="537">
        <v>168000</v>
      </c>
      <c r="L19" s="538">
        <v>168000</v>
      </c>
    </row>
    <row r="20" spans="1:18" customHeight="1" ht="18" s="2" customFormat="1">
      <c r="B20" s="9" t="s">
        <v>30</v>
      </c>
      <c r="C20" s="9"/>
      <c r="D20" s="9"/>
      <c r="E20" s="9"/>
      <c r="F20" s="9"/>
      <c r="G20" s="213" t="s">
        <v>31</v>
      </c>
      <c r="H20" s="666">
        <v>81000</v>
      </c>
      <c r="I20" s="616">
        <v>40500</v>
      </c>
      <c r="J20" s="666">
        <f>K20-I20</f>
        <v>40500</v>
      </c>
      <c r="K20" s="537">
        <v>81000</v>
      </c>
      <c r="L20" s="538">
        <v>81000</v>
      </c>
    </row>
    <row r="21" spans="1:18" customHeight="1" ht="18" s="2" customFormat="1">
      <c r="B21" s="9" t="s">
        <v>32</v>
      </c>
      <c r="C21" s="9"/>
      <c r="D21" s="9"/>
      <c r="E21" s="9"/>
      <c r="F21" s="9"/>
      <c r="G21" s="213" t="s">
        <v>33</v>
      </c>
      <c r="H21" s="666">
        <v>81000</v>
      </c>
      <c r="I21" s="616">
        <v>40500</v>
      </c>
      <c r="J21" s="666">
        <f>K21-I21</f>
        <v>40500</v>
      </c>
      <c r="K21" s="537">
        <v>81000</v>
      </c>
      <c r="L21" s="538">
        <v>81000</v>
      </c>
    </row>
    <row r="22" spans="1:18" customHeight="1" ht="18" s="2" customFormat="1">
      <c r="B22" s="9" t="s">
        <v>34</v>
      </c>
      <c r="C22" s="9"/>
      <c r="D22" s="9"/>
      <c r="E22" s="9"/>
      <c r="F22" s="9"/>
      <c r="G22" s="213" t="s">
        <v>35</v>
      </c>
      <c r="H22" s="666">
        <v>18000</v>
      </c>
      <c r="I22" s="616">
        <v>18000</v>
      </c>
      <c r="J22" s="666">
        <f>K22-I22</f>
        <v>24000</v>
      </c>
      <c r="K22" s="537">
        <v>42000</v>
      </c>
      <c r="L22" s="538">
        <v>42000</v>
      </c>
    </row>
    <row r="23" spans="1:18" customHeight="1" ht="18" s="2" customFormat="1">
      <c r="B23" s="9" t="s">
        <v>38</v>
      </c>
      <c r="C23" s="9"/>
      <c r="D23" s="9"/>
      <c r="E23" s="9"/>
      <c r="F23" s="9"/>
      <c r="G23" s="213" t="s">
        <v>39</v>
      </c>
      <c r="H23" s="666">
        <v>117652</v>
      </c>
      <c r="I23" s="616">
        <v>0</v>
      </c>
      <c r="J23" s="666">
        <f>K23-I23</f>
        <v>185989</v>
      </c>
      <c r="K23" s="537">
        <v>185989</v>
      </c>
      <c r="L23" s="538">
        <v>188728</v>
      </c>
    </row>
    <row r="24" spans="1:18" customHeight="1" ht="18" s="2" customFormat="1">
      <c r="B24" s="9" t="s">
        <v>40</v>
      </c>
      <c r="C24" s="9"/>
      <c r="D24" s="9"/>
      <c r="E24" s="9"/>
      <c r="F24" s="9"/>
      <c r="G24" s="213" t="s">
        <v>41</v>
      </c>
      <c r="H24" s="666">
        <v>15000</v>
      </c>
      <c r="I24" s="616">
        <v>0</v>
      </c>
      <c r="J24" s="666">
        <f>K24-I24</f>
        <v>35000</v>
      </c>
      <c r="K24" s="537">
        <v>35000</v>
      </c>
      <c r="L24" s="538">
        <v>35000</v>
      </c>
    </row>
    <row r="25" spans="1:18" customHeight="1" ht="18" s="2" customFormat="1">
      <c r="B25" s="9" t="s">
        <v>42</v>
      </c>
      <c r="C25" s="9"/>
      <c r="D25" s="539"/>
      <c r="E25" s="539"/>
      <c r="F25" s="539"/>
      <c r="G25" s="213" t="s">
        <v>43</v>
      </c>
      <c r="H25" s="537">
        <v>132540</v>
      </c>
      <c r="I25" s="616">
        <v>120477</v>
      </c>
      <c r="J25" s="666">
        <f>K25-I25</f>
        <v>100512</v>
      </c>
      <c r="K25" s="537">
        <v>220989</v>
      </c>
      <c r="L25" s="538">
        <f>SUM(F26:F27)</f>
        <v>223728</v>
      </c>
    </row>
    <row r="26" spans="1:18" customHeight="1" ht="18" s="2" customFormat="1">
      <c r="B26" s="29" t="s">
        <v>44</v>
      </c>
      <c r="C26" s="29"/>
      <c r="D26" s="539"/>
      <c r="E26" s="539"/>
      <c r="F26" s="539">
        <f>L23</f>
        <v>188728</v>
      </c>
      <c r="G26" s="213"/>
      <c r="H26" s="537"/>
      <c r="I26" s="616"/>
      <c r="J26" s="537"/>
      <c r="K26" s="537"/>
      <c r="L26" s="538"/>
    </row>
    <row r="27" spans="1:18" customHeight="1" ht="18" s="2" customFormat="1">
      <c r="B27" s="29" t="s">
        <v>45</v>
      </c>
      <c r="C27" s="29"/>
      <c r="D27" s="539"/>
      <c r="E27" s="539"/>
      <c r="F27" s="618">
        <f>L24</f>
        <v>35000</v>
      </c>
      <c r="G27" s="213"/>
      <c r="H27" s="537"/>
      <c r="I27" s="616"/>
      <c r="J27" s="537"/>
      <c r="K27" s="537"/>
      <c r="L27" s="538"/>
    </row>
    <row r="28" spans="1:18" customHeight="1" ht="18" s="2" customFormat="1">
      <c r="B28" s="9" t="s">
        <v>46</v>
      </c>
      <c r="C28" s="9"/>
      <c r="D28" s="9"/>
      <c r="E28" s="9"/>
      <c r="F28" s="9"/>
      <c r="G28" s="213" t="s">
        <v>47</v>
      </c>
      <c r="H28" s="666">
        <v>168927.36</v>
      </c>
      <c r="I28" s="616">
        <v>86743.44</v>
      </c>
      <c r="J28" s="666">
        <f>K28-I28</f>
        <v>181080.72</v>
      </c>
      <c r="K28" s="537">
        <v>267824.16</v>
      </c>
      <c r="L28" s="538">
        <v>271768.32</v>
      </c>
    </row>
    <row r="29" spans="1:18" customHeight="1" ht="18" s="2" customFormat="1">
      <c r="B29" s="9" t="s">
        <v>48</v>
      </c>
      <c r="C29" s="9"/>
      <c r="D29" s="9"/>
      <c r="E29" s="9"/>
      <c r="F29" s="9"/>
      <c r="G29" s="213" t="s">
        <v>49</v>
      </c>
      <c r="H29" s="666">
        <v>3600</v>
      </c>
      <c r="I29" s="616">
        <v>1800</v>
      </c>
      <c r="J29" s="666">
        <f>K29-I29</f>
        <v>6600</v>
      </c>
      <c r="K29" s="537">
        <v>8400</v>
      </c>
      <c r="L29" s="538">
        <v>8400</v>
      </c>
    </row>
    <row r="30" spans="1:18" customHeight="1" ht="18" s="2" customFormat="1">
      <c r="B30" s="9" t="s">
        <v>50</v>
      </c>
      <c r="C30" s="9"/>
      <c r="D30" s="9"/>
      <c r="E30" s="9"/>
      <c r="F30" s="9"/>
      <c r="G30" s="213" t="s">
        <v>51</v>
      </c>
      <c r="H30" s="666">
        <v>15390.8</v>
      </c>
      <c r="I30" s="616">
        <v>7778.76</v>
      </c>
      <c r="J30" s="666">
        <f>K30-I30</f>
        <v>33571.8</v>
      </c>
      <c r="K30" s="537">
        <v>41350.56</v>
      </c>
      <c r="L30" s="538">
        <v>50302.89</v>
      </c>
    </row>
    <row r="31" spans="1:18" customHeight="1" ht="18" s="2" customFormat="1">
      <c r="B31" s="9" t="s">
        <v>52</v>
      </c>
      <c r="C31" s="9"/>
      <c r="D31" s="9"/>
      <c r="E31" s="9"/>
      <c r="F31" s="9"/>
      <c r="G31" s="213" t="s">
        <v>53</v>
      </c>
      <c r="H31" s="666">
        <v>3600</v>
      </c>
      <c r="I31" s="616">
        <v>1800</v>
      </c>
      <c r="J31" s="666">
        <f>K31-I31</f>
        <v>6600</v>
      </c>
      <c r="K31" s="537">
        <v>8400</v>
      </c>
      <c r="L31" s="538">
        <v>8400</v>
      </c>
    </row>
    <row r="32" spans="1:18" customHeight="1" ht="18" s="2" customFormat="1">
      <c r="B32" s="9" t="s">
        <v>58</v>
      </c>
      <c r="C32" s="9"/>
      <c r="D32" s="9"/>
      <c r="E32" s="9"/>
      <c r="F32" s="9"/>
      <c r="G32" s="213" t="s">
        <v>59</v>
      </c>
      <c r="H32" s="541">
        <v>75000</v>
      </c>
      <c r="I32" s="619">
        <v>0</v>
      </c>
      <c r="J32" s="541">
        <v>0</v>
      </c>
      <c r="K32" s="541">
        <v>0</v>
      </c>
      <c r="L32" s="557">
        <v>0</v>
      </c>
    </row>
    <row r="33" spans="1:18" customHeight="1" ht="18" s="550" customFormat="1">
      <c r="A33" s="543" t="s">
        <v>256</v>
      </c>
      <c r="B33" s="1057"/>
      <c r="C33" s="1057"/>
      <c r="D33" s="1057"/>
      <c r="E33" s="1057"/>
      <c r="F33" s="1057"/>
      <c r="G33" s="545"/>
      <c r="H33" s="546">
        <f>SUM(H18:H32)</f>
        <v>2191438.16</v>
      </c>
      <c r="I33" s="546">
        <f>SUM(I18:I32)</f>
        <v>1076461.2</v>
      </c>
      <c r="J33" s="546">
        <f>SUM(J18:J32)</f>
        <v>2295359.52</v>
      </c>
      <c r="K33" s="546">
        <f>SUM(K18:K32)</f>
        <v>3371820.72</v>
      </c>
      <c r="L33" s="547">
        <f>SUM(L18:L32)</f>
        <v>3423063.21</v>
      </c>
    </row>
    <row r="34" spans="1:18" customHeight="1" ht="18.75" s="531" customFormat="1">
      <c r="A34" s="59" t="s">
        <v>62</v>
      </c>
      <c r="B34" s="15"/>
      <c r="C34" s="15"/>
      <c r="D34" s="15"/>
      <c r="E34" s="15"/>
      <c r="F34" s="15"/>
      <c r="G34" s="213"/>
      <c r="H34" s="586"/>
      <c r="I34" s="586"/>
      <c r="J34" s="586"/>
      <c r="K34" s="532"/>
      <c r="L34" s="533"/>
    </row>
    <row r="35" spans="1:18" customHeight="1" ht="18" s="2" customFormat="1">
      <c r="B35" s="9" t="s">
        <v>63</v>
      </c>
      <c r="C35" s="9"/>
      <c r="D35" s="9"/>
      <c r="E35" s="9"/>
      <c r="F35" s="9"/>
      <c r="G35" s="238" t="s">
        <v>64</v>
      </c>
      <c r="H35" s="645">
        <v>0</v>
      </c>
      <c r="I35" s="645">
        <v>0</v>
      </c>
      <c r="J35" s="645">
        <f>K35-I35</f>
        <v>75000</v>
      </c>
      <c r="K35" s="645">
        <v>75000</v>
      </c>
      <c r="L35" s="615">
        <v>50000</v>
      </c>
    </row>
    <row r="36" spans="1:18" customHeight="1" ht="18" s="2" customFormat="1">
      <c r="B36" s="9" t="s">
        <v>72</v>
      </c>
      <c r="C36" s="9"/>
      <c r="D36" s="9"/>
      <c r="E36" s="9"/>
      <c r="F36" s="9"/>
      <c r="G36" s="238" t="s">
        <v>73</v>
      </c>
      <c r="H36" s="537">
        <v>0</v>
      </c>
      <c r="I36" s="537">
        <v>0</v>
      </c>
      <c r="J36" s="666">
        <f>K36-I36</f>
        <v>40000</v>
      </c>
      <c r="K36" s="537">
        <v>40000</v>
      </c>
      <c r="L36" s="533">
        <v>20000</v>
      </c>
    </row>
    <row r="37" spans="1:18" customHeight="1" ht="18" s="2" customFormat="1">
      <c r="B37" s="9" t="s">
        <v>234</v>
      </c>
      <c r="C37" s="9"/>
      <c r="D37" s="9"/>
      <c r="E37" s="9"/>
      <c r="F37" s="9"/>
      <c r="G37" s="238" t="s">
        <v>77</v>
      </c>
      <c r="H37" s="537">
        <v>131498.1</v>
      </c>
      <c r="I37" s="537">
        <v>40000</v>
      </c>
      <c r="J37" s="666">
        <f>K37-I37</f>
        <v>60000</v>
      </c>
      <c r="K37" s="537">
        <v>100000</v>
      </c>
      <c r="L37" s="533">
        <v>100000</v>
      </c>
    </row>
    <row r="38" spans="1:18" customHeight="1" ht="18" s="2" customFormat="1">
      <c r="B38" s="9" t="s">
        <v>79</v>
      </c>
      <c r="C38" s="9"/>
      <c r="D38" s="9"/>
      <c r="E38" s="9"/>
      <c r="F38" s="9"/>
      <c r="G38" s="238" t="s">
        <v>80</v>
      </c>
      <c r="H38" s="537">
        <v>143442</v>
      </c>
      <c r="I38" s="537">
        <v>42500</v>
      </c>
      <c r="J38" s="666">
        <f>K38-I38</f>
        <v>57500</v>
      </c>
      <c r="K38" s="537">
        <v>100000</v>
      </c>
      <c r="L38" s="533">
        <v>100000</v>
      </c>
    </row>
    <row r="39" spans="1:18" customHeight="1" ht="18" s="2" customFormat="1">
      <c r="B39" s="9" t="s">
        <v>81</v>
      </c>
      <c r="C39" s="9"/>
      <c r="D39" s="9"/>
      <c r="E39" s="9"/>
      <c r="F39" s="9"/>
      <c r="G39" s="238" t="s">
        <v>82</v>
      </c>
      <c r="H39" s="537">
        <v>12805</v>
      </c>
      <c r="I39" s="537">
        <v>29000</v>
      </c>
      <c r="J39" s="666">
        <f>K39-I39</f>
        <v>6000</v>
      </c>
      <c r="K39" s="537">
        <v>35000</v>
      </c>
      <c r="L39" s="533">
        <v>35000</v>
      </c>
    </row>
    <row r="40" spans="1:18" customHeight="1" ht="18" s="2" customFormat="1">
      <c r="B40" s="9" t="s">
        <v>93</v>
      </c>
      <c r="C40" s="9"/>
      <c r="D40" s="9"/>
      <c r="E40" s="9"/>
      <c r="F40" s="9"/>
      <c r="G40" s="238" t="s">
        <v>94</v>
      </c>
      <c r="H40" s="537">
        <v>8000</v>
      </c>
      <c r="I40" s="537">
        <v>0</v>
      </c>
      <c r="J40" s="666">
        <f>K40-I40</f>
        <v>5000</v>
      </c>
      <c r="K40" s="537">
        <v>5000</v>
      </c>
      <c r="L40" s="533">
        <v>5000</v>
      </c>
    </row>
    <row r="41" spans="1:18" customHeight="1" ht="18" s="2" customFormat="1">
      <c r="B41" s="9" t="s">
        <v>577</v>
      </c>
      <c r="C41" s="9"/>
      <c r="D41" s="9"/>
      <c r="E41" s="9"/>
      <c r="F41" s="9"/>
      <c r="G41" s="238" t="s">
        <v>96</v>
      </c>
      <c r="H41" s="537">
        <v>39962.81</v>
      </c>
      <c r="I41" s="537">
        <v>25000</v>
      </c>
      <c r="J41" s="666">
        <f>K41-I41</f>
        <v>25000</v>
      </c>
      <c r="K41" s="537">
        <v>50000</v>
      </c>
      <c r="L41" s="533">
        <v>50000</v>
      </c>
    </row>
    <row r="42" spans="1:18" customHeight="1" ht="18" s="2" customFormat="1">
      <c r="B42" s="9" t="s">
        <v>578</v>
      </c>
      <c r="C42" s="9"/>
      <c r="D42" s="9"/>
      <c r="E42" s="9"/>
      <c r="F42" s="9"/>
      <c r="G42" s="238" t="s">
        <v>98</v>
      </c>
      <c r="H42" s="537">
        <v>40671.61</v>
      </c>
      <c r="I42" s="537">
        <v>11889.17</v>
      </c>
      <c r="J42" s="666">
        <f>K42-I42</f>
        <v>38110.83</v>
      </c>
      <c r="K42" s="537">
        <v>50000</v>
      </c>
      <c r="L42" s="533">
        <v>50000</v>
      </c>
    </row>
    <row r="43" spans="1:18" customHeight="1" ht="18" s="2" customFormat="1">
      <c r="B43" s="9" t="s">
        <v>579</v>
      </c>
      <c r="C43" s="9"/>
      <c r="D43" s="9"/>
      <c r="E43" s="9"/>
      <c r="F43" s="9"/>
      <c r="G43" s="238" t="s">
        <v>100</v>
      </c>
      <c r="H43" s="537">
        <v>0</v>
      </c>
      <c r="I43" s="537">
        <v>0</v>
      </c>
      <c r="J43" s="666">
        <f>K43-I43</f>
        <v>10000</v>
      </c>
      <c r="K43" s="537">
        <v>10000</v>
      </c>
      <c r="L43" s="533">
        <v>10000</v>
      </c>
    </row>
    <row r="44" spans="1:18" customHeight="1" ht="18" s="2" customFormat="1">
      <c r="B44" s="9" t="s">
        <v>580</v>
      </c>
      <c r="C44" s="9"/>
      <c r="D44" s="9"/>
      <c r="E44" s="9"/>
      <c r="F44" s="9"/>
      <c r="G44" s="238" t="s">
        <v>102</v>
      </c>
      <c r="H44" s="537">
        <v>6000</v>
      </c>
      <c r="I44" s="537">
        <v>0</v>
      </c>
      <c r="J44" s="666">
        <f>K44-I44</f>
        <v>50000</v>
      </c>
      <c r="K44" s="537">
        <v>50000</v>
      </c>
      <c r="L44" s="533">
        <v>50000</v>
      </c>
    </row>
    <row r="45" spans="1:18" customHeight="1" ht="18" s="2" customFormat="1">
      <c r="B45" s="9" t="s">
        <v>240</v>
      </c>
      <c r="C45" s="9"/>
      <c r="D45" s="9"/>
      <c r="E45" s="9"/>
      <c r="F45" s="9"/>
      <c r="G45" s="238" t="s">
        <v>125</v>
      </c>
      <c r="H45" s="537">
        <v>0</v>
      </c>
      <c r="I45" s="537">
        <v>0</v>
      </c>
      <c r="J45" s="666">
        <f>K45-I45</f>
        <v>5000</v>
      </c>
      <c r="K45" s="537">
        <v>5000</v>
      </c>
      <c r="L45" s="533">
        <v>5000</v>
      </c>
    </row>
    <row r="46" spans="1:18" customHeight="1" ht="18" s="2" customFormat="1">
      <c r="B46" s="9" t="s">
        <v>142</v>
      </c>
      <c r="C46" s="9"/>
      <c r="D46" s="9"/>
      <c r="E46" s="9"/>
      <c r="F46" s="9"/>
      <c r="G46" s="238" t="s">
        <v>143</v>
      </c>
      <c r="H46" s="537">
        <v>46631.12</v>
      </c>
      <c r="I46" s="537">
        <v>236</v>
      </c>
      <c r="J46" s="666">
        <f>K46-I46</f>
        <v>59764</v>
      </c>
      <c r="K46" s="537">
        <v>60000</v>
      </c>
      <c r="L46" s="533">
        <v>40000</v>
      </c>
    </row>
    <row r="47" spans="1:18" customHeight="1" ht="18" s="2" customFormat="1">
      <c r="B47" s="671" t="s">
        <v>150</v>
      </c>
      <c r="C47" s="9"/>
      <c r="D47" s="9"/>
      <c r="E47" s="9"/>
      <c r="F47" s="9"/>
      <c r="G47" s="238" t="s">
        <v>107</v>
      </c>
      <c r="H47" s="537">
        <v>658800</v>
      </c>
      <c r="I47" s="537">
        <v>285200</v>
      </c>
      <c r="J47" s="666">
        <f>K47-I47</f>
        <v>514800</v>
      </c>
      <c r="K47" s="537">
        <v>800000</v>
      </c>
      <c r="L47" s="533">
        <v>400000</v>
      </c>
    </row>
    <row r="48" spans="1:18" customHeight="1" ht="19.5" s="2" customFormat="1">
      <c r="B48" s="29" t="s">
        <v>581</v>
      </c>
      <c r="C48" s="29"/>
      <c r="D48" s="9"/>
      <c r="E48" s="9"/>
      <c r="F48" s="9"/>
      <c r="G48" s="238"/>
      <c r="H48" s="541">
        <v>0</v>
      </c>
      <c r="I48" s="541">
        <v>0</v>
      </c>
      <c r="J48" s="541">
        <v>0</v>
      </c>
      <c r="K48" s="541">
        <v>0</v>
      </c>
      <c r="L48" s="557">
        <v>0</v>
      </c>
    </row>
    <row r="49" spans="1:18" customHeight="1" ht="21" s="1058" customFormat="1">
      <c r="A49" s="6" t="s">
        <v>160</v>
      </c>
      <c r="B49" s="705"/>
      <c r="C49" s="705"/>
      <c r="D49" s="705"/>
      <c r="E49" s="705"/>
      <c r="F49" s="705"/>
      <c r="G49" s="243"/>
      <c r="H49" s="738">
        <f>SUM(H35:H48)</f>
        <v>1087810.64</v>
      </c>
      <c r="I49" s="738">
        <f>SUM(I35:I48)</f>
        <v>433825.17</v>
      </c>
      <c r="J49" s="738">
        <f>SUM(J35:J48)</f>
        <v>946174.83</v>
      </c>
      <c r="K49" s="738">
        <f>SUM(K35:K48)</f>
        <v>1380000</v>
      </c>
      <c r="L49" s="739">
        <f>SUM(L35:L48)</f>
        <v>915000</v>
      </c>
    </row>
    <row r="50" spans="1:18" customHeight="1" ht="21" s="1058" customFormat="1">
      <c r="A50" s="543" t="s">
        <v>161</v>
      </c>
      <c r="B50" s="1057"/>
      <c r="C50" s="1057"/>
      <c r="D50" s="1057"/>
      <c r="E50" s="1057"/>
      <c r="F50" s="1057"/>
      <c r="G50" s="545"/>
      <c r="H50" s="1059">
        <f>+H49+H33</f>
        <v>3279248.8</v>
      </c>
      <c r="I50" s="1059">
        <f>+I49+I33</f>
        <v>1510286.37</v>
      </c>
      <c r="J50" s="1059">
        <f>+J49+J33</f>
        <v>3241534.35</v>
      </c>
      <c r="K50" s="1059">
        <f>+K49+K33</f>
        <v>4751820.72</v>
      </c>
      <c r="L50" s="1060">
        <f>+L49+L33</f>
        <v>4338063.21</v>
      </c>
    </row>
    <row r="51" spans="1:18" customHeight="1" ht="17.1" s="1058" customFormat="1">
      <c r="A51" s="6"/>
      <c r="B51" s="705"/>
      <c r="C51" s="705"/>
      <c r="D51" s="705"/>
      <c r="E51" s="705"/>
      <c r="F51" s="705"/>
      <c r="G51" s="243"/>
      <c r="H51" s="738"/>
      <c r="I51" s="738"/>
      <c r="J51" s="738"/>
      <c r="K51" s="738"/>
      <c r="L51" s="1061"/>
    </row>
    <row r="52" spans="1:18" customHeight="1" ht="17.1" s="1062" customFormat="1">
      <c r="A52" s="59" t="s">
        <v>162</v>
      </c>
      <c r="B52" s="14"/>
      <c r="C52" s="14"/>
      <c r="D52" s="14"/>
      <c r="E52" s="14"/>
      <c r="F52" s="14"/>
      <c r="G52" s="213"/>
      <c r="H52" s="735"/>
      <c r="I52" s="735"/>
      <c r="J52" s="735"/>
      <c r="K52" s="532"/>
      <c r="L52" s="533"/>
    </row>
    <row r="53" spans="1:18" customHeight="1" ht="17.1" s="1062" customFormat="1">
      <c r="A53" s="580" t="s">
        <v>582</v>
      </c>
      <c r="B53" s="5" t="s">
        <v>163</v>
      </c>
      <c r="C53" s="5"/>
      <c r="D53" s="14"/>
      <c r="E53" s="14"/>
      <c r="F53" s="14"/>
      <c r="G53" s="213" t="s">
        <v>164</v>
      </c>
      <c r="H53" s="735">
        <v>0</v>
      </c>
      <c r="I53" s="735">
        <v>40000</v>
      </c>
      <c r="J53" s="645">
        <f>K53-I53</f>
        <v>10000</v>
      </c>
      <c r="K53" s="1063">
        <v>50000</v>
      </c>
      <c r="L53" s="1064">
        <v>25000</v>
      </c>
    </row>
    <row r="54" spans="1:18" customHeight="1" ht="17.1" s="1062" customFormat="1">
      <c r="A54" s="580"/>
      <c r="B54" s="5" t="s">
        <v>248</v>
      </c>
      <c r="C54" s="5"/>
      <c r="D54" s="14"/>
      <c r="E54" s="14"/>
      <c r="F54" s="14"/>
      <c r="G54" s="213" t="s">
        <v>167</v>
      </c>
      <c r="H54" s="1017"/>
      <c r="I54" s="1017">
        <v>38000</v>
      </c>
      <c r="J54" s="616">
        <f>K54-I54</f>
        <v>122000</v>
      </c>
      <c r="K54" s="616">
        <v>160000</v>
      </c>
      <c r="L54" s="650">
        <v>25000</v>
      </c>
    </row>
    <row r="55" spans="1:18" customHeight="1" ht="17.1" s="1062" customFormat="1">
      <c r="A55" s="580" t="s">
        <v>582</v>
      </c>
      <c r="B55" s="5" t="s">
        <v>170</v>
      </c>
      <c r="C55" s="5"/>
      <c r="D55" s="14"/>
      <c r="E55" s="14"/>
      <c r="F55" s="14"/>
      <c r="G55" s="213" t="s">
        <v>171</v>
      </c>
      <c r="H55" s="1065">
        <v>0</v>
      </c>
      <c r="I55" s="1065">
        <v>0</v>
      </c>
      <c r="J55" s="793">
        <f>K55-I55</f>
        <v>100000</v>
      </c>
      <c r="K55" s="619">
        <v>100000</v>
      </c>
      <c r="L55" s="755">
        <v>0</v>
      </c>
    </row>
    <row r="56" spans="1:18" customHeight="1" ht="17.1" s="550" customFormat="1">
      <c r="A56" s="6" t="s">
        <v>172</v>
      </c>
      <c r="B56" s="6"/>
      <c r="C56" s="6"/>
      <c r="D56" s="6"/>
      <c r="E56" s="6"/>
      <c r="F56" s="6"/>
      <c r="G56" s="712"/>
      <c r="H56" s="627">
        <f>SUM(H53:H55)</f>
        <v>0</v>
      </c>
      <c r="I56" s="627">
        <f>SUM(I53:I55)</f>
        <v>78000</v>
      </c>
      <c r="J56" s="627">
        <f>SUM(J53:J55)</f>
        <v>232000</v>
      </c>
      <c r="K56" s="627">
        <f>SUM(K53:K55)</f>
        <v>310000</v>
      </c>
      <c r="L56" s="713">
        <f>SUM(L53:L55)</f>
        <v>50000</v>
      </c>
    </row>
    <row r="57" spans="1:18" customHeight="1" ht="17.1" s="2" customFormat="1">
      <c r="A57" s="9"/>
      <c r="B57" s="9"/>
      <c r="C57" s="9"/>
      <c r="D57" s="9"/>
      <c r="E57" s="9"/>
      <c r="F57" s="9"/>
      <c r="G57" s="213"/>
      <c r="H57" s="784"/>
      <c r="I57" s="784"/>
      <c r="J57" s="784"/>
      <c r="K57" s="784"/>
      <c r="L57" s="591"/>
    </row>
    <row r="58" spans="1:18" customHeight="1" ht="17.1" s="550" customFormat="1">
      <c r="A58" s="6" t="s">
        <v>252</v>
      </c>
      <c r="B58" s="6"/>
      <c r="C58" s="6"/>
      <c r="D58" s="6"/>
      <c r="E58" s="6"/>
      <c r="F58" s="6"/>
      <c r="G58" s="243"/>
      <c r="H58" s="656">
        <f>+H56+H50</f>
        <v>3279248.8</v>
      </c>
      <c r="I58" s="656">
        <f>+I56+I50</f>
        <v>1588286.37</v>
      </c>
      <c r="J58" s="656">
        <f>+J56+J50</f>
        <v>3473534.35</v>
      </c>
      <c r="K58" s="656">
        <f>+K56+K50</f>
        <v>5061820.72</v>
      </c>
      <c r="L58" s="658">
        <f>+L56+L50</f>
        <v>4388063.21</v>
      </c>
    </row>
    <row r="59" spans="1:18" customHeight="1" ht="17.1" s="9" customFormat="1">
      <c r="A59" s="876"/>
      <c r="B59" s="73"/>
      <c r="C59" s="73"/>
      <c r="D59" s="73"/>
      <c r="E59" s="73"/>
      <c r="F59" s="73"/>
      <c r="G59" s="720"/>
      <c r="H59" s="720"/>
      <c r="I59" s="720"/>
      <c r="J59" s="720"/>
      <c r="K59" s="720"/>
      <c r="L59" s="721"/>
    </row>
    <row r="60" spans="1:18" customHeight="1" ht="18" s="273" customFormat="1">
      <c r="A60" s="6"/>
      <c r="B60" s="6"/>
      <c r="G60" s="508"/>
      <c r="H60" s="508"/>
    </row>
    <row r="61" spans="1:18" customHeight="1" ht="18" s="9" customFormat="1">
      <c r="A61" s="9" t="s">
        <v>182</v>
      </c>
      <c r="I61" s="509"/>
      <c r="J61" s="509"/>
      <c r="K61" s="509"/>
      <c r="L61" s="509"/>
    </row>
    <row r="62" spans="1:18" customHeight="1" ht="18" s="9" customFormat="1">
      <c r="G62" s="510"/>
      <c r="H62" s="510"/>
      <c r="I62" s="510"/>
      <c r="J62" s="510"/>
      <c r="K62" s="510"/>
      <c r="L62" s="510"/>
    </row>
    <row r="63" spans="1:18" customHeight="1" ht="18" s="9" customFormat="1">
      <c r="A63" s="1493" t="s">
        <v>183</v>
      </c>
      <c r="B63" s="1493"/>
      <c r="C63" s="1493"/>
      <c r="D63" s="511"/>
      <c r="E63" s="511"/>
      <c r="F63" s="512" t="s">
        <v>184</v>
      </c>
      <c r="G63" s="509"/>
      <c r="H63" s="509"/>
      <c r="I63" s="509"/>
      <c r="J63" s="510" t="s">
        <v>185</v>
      </c>
      <c r="K63" s="1494"/>
      <c r="L63" s="1494"/>
    </row>
    <row r="64" spans="1:18" customHeight="1" ht="18" s="9" customFormat="1"/>
    <row r="65" spans="1:18" customHeight="1" ht="18" s="9" customFormat="1"/>
    <row r="66" spans="1:18" customHeight="1" ht="18" s="11" customFormat="1">
      <c r="A66" s="1489" t="s">
        <v>574</v>
      </c>
      <c r="B66" s="1489"/>
      <c r="C66" s="1489"/>
      <c r="D66" s="1489"/>
      <c r="E66" s="1489"/>
      <c r="F66" s="1489" t="s">
        <v>187</v>
      </c>
      <c r="G66" s="1489"/>
      <c r="H66" s="1489"/>
      <c r="I66" s="1489"/>
      <c r="J66" s="1489" t="s">
        <v>186</v>
      </c>
      <c r="K66" s="1489"/>
      <c r="L66" s="1489"/>
    </row>
    <row r="67" spans="1:18" customHeight="1" ht="12" s="11" customFormat="1">
      <c r="A67" s="1468" t="s">
        <v>189</v>
      </c>
      <c r="B67" s="1468"/>
      <c r="C67" s="1468"/>
      <c r="D67" s="1468"/>
      <c r="E67" s="1468"/>
      <c r="F67" s="1468" t="s">
        <v>189</v>
      </c>
      <c r="G67" s="1468"/>
      <c r="H67" s="1468"/>
      <c r="I67" s="1468"/>
      <c r="J67" s="1468" t="s">
        <v>188</v>
      </c>
      <c r="K67" s="1468"/>
      <c r="L67" s="1468"/>
    </row>
    <row r="68" spans="1:18" customHeight="1" ht="12" s="9" customFormat="1">
      <c r="A68" s="1468" t="s">
        <v>583</v>
      </c>
      <c r="B68" s="1468"/>
      <c r="C68" s="1468"/>
      <c r="D68" s="1468"/>
      <c r="E68" s="1468"/>
      <c r="F68" s="1468" t="s">
        <v>190</v>
      </c>
      <c r="G68" s="1468"/>
      <c r="H68" s="1468"/>
      <c r="I68" s="1468"/>
      <c r="J68" s="1468"/>
      <c r="K68" s="1468"/>
      <c r="L68" s="1468"/>
    </row>
    <row r="69" spans="1:18" customHeight="1" ht="14.45" s="9" customFormat="1">
      <c r="A69" s="7"/>
      <c r="G69" s="591"/>
      <c r="H69" s="591"/>
      <c r="I69" s="591"/>
      <c r="J69" s="591"/>
      <c r="K69" s="591"/>
      <c r="L69" s="591"/>
    </row>
    <row r="70" spans="1:18" customHeight="1" ht="19.9" s="9" customFormat="1">
      <c r="A70" s="7"/>
      <c r="G70" s="591"/>
      <c r="H70" s="591"/>
      <c r="I70" s="591"/>
      <c r="J70" s="591"/>
      <c r="K70" s="591"/>
      <c r="L70" s="591"/>
    </row>
    <row r="71" spans="1:18" customHeight="1" ht="13.9" s="4" customFormat="1">
      <c r="A71" s="11"/>
      <c r="B71" s="11"/>
      <c r="C71" s="11"/>
      <c r="D71" s="11"/>
      <c r="E71" s="11"/>
      <c r="G71" s="593"/>
      <c r="H71" s="594"/>
      <c r="I71" s="594"/>
      <c r="J71" s="594"/>
      <c r="K71" s="594"/>
      <c r="L71" s="593"/>
    </row>
    <row r="72" spans="1:18" customHeight="1" ht="17.25" s="157" customFormat="1">
      <c r="A72" s="496"/>
      <c r="B72" s="419"/>
      <c r="C72" s="419"/>
      <c r="D72" s="419"/>
      <c r="E72" s="419"/>
      <c r="F72" s="419"/>
      <c r="G72" s="419"/>
      <c r="H72" s="1066"/>
      <c r="I72" s="1066"/>
      <c r="J72" s="1066"/>
      <c r="K72" s="1066"/>
      <c r="L72" s="1066"/>
    </row>
    <row r="73" spans="1:18" customHeight="1" ht="15.75" s="694" customFormat="1">
      <c r="A73" s="1489"/>
      <c r="B73" s="1489"/>
      <c r="C73" s="1489"/>
      <c r="D73" s="1489"/>
      <c r="E73" s="317"/>
      <c r="G73" s="1498"/>
      <c r="H73" s="1498"/>
      <c r="I73" s="695"/>
      <c r="J73" s="695"/>
      <c r="K73" s="1498"/>
      <c r="L73" s="1498"/>
    </row>
    <row r="74" spans="1:18" customHeight="1" ht="12" s="10" customFormat="1">
      <c r="A74" s="1496"/>
      <c r="B74" s="1496"/>
      <c r="C74" s="1496"/>
      <c r="D74" s="1496"/>
      <c r="E74" s="391"/>
      <c r="G74" s="1495"/>
      <c r="H74" s="1495"/>
      <c r="I74" s="600"/>
      <c r="J74" s="600"/>
      <c r="K74" s="1495"/>
      <c r="L74" s="1495"/>
    </row>
    <row r="75" spans="1:18" customHeight="1" ht="12" s="10" customFormat="1">
      <c r="A75" s="1496"/>
      <c r="B75" s="1496"/>
      <c r="C75" s="1496"/>
      <c r="D75" s="1496"/>
      <c r="E75" s="391"/>
      <c r="G75" s="1495"/>
      <c r="H75" s="1495"/>
      <c r="I75" s="600"/>
      <c r="J75" s="600"/>
      <c r="K75" s="600"/>
      <c r="L75" s="600"/>
    </row>
    <row r="76" spans="1:18" s="533" customFormat="1">
      <c r="A76" s="27"/>
      <c r="B76" s="27"/>
      <c r="C76" s="27"/>
      <c r="D76" s="27"/>
      <c r="E76" s="27"/>
      <c r="F76" s="27"/>
      <c r="G76" s="27"/>
      <c r="H76" s="1067"/>
      <c r="I76" s="1067"/>
      <c r="J76" s="1067"/>
      <c r="K76" s="27"/>
      <c r="M76" s="533"/>
      <c r="N76" s="533"/>
      <c r="O76" s="533"/>
      <c r="P76" s="533"/>
      <c r="Q76" s="533"/>
      <c r="R76" s="5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5:D75"/>
    <mergeCell ref="G75:H75"/>
    <mergeCell ref="A73:D73"/>
    <mergeCell ref="G73:H73"/>
    <mergeCell ref="K73:L73"/>
    <mergeCell ref="A74:D74"/>
    <mergeCell ref="G74:H74"/>
    <mergeCell ref="K74:L74"/>
    <mergeCell ref="A67:E67"/>
    <mergeCell ref="F67:I67"/>
    <mergeCell ref="J67:L67"/>
    <mergeCell ref="A68:E68"/>
    <mergeCell ref="F68:I68"/>
    <mergeCell ref="J68:L68"/>
    <mergeCell ref="A15:F15"/>
    <mergeCell ref="A63:C63"/>
    <mergeCell ref="K63:L63"/>
    <mergeCell ref="A66:E66"/>
    <mergeCell ref="F66:I66"/>
    <mergeCell ref="J66:L66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34"/>
  <sheetViews>
    <sheetView tabSelected="0" workbookViewId="0" view="pageBreakPreview" showGridLines="false" showRowColHeaders="1">
      <selection activeCell="A5" sqref="A5:L5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2.7109375" customWidth="true" style="9"/>
    <col min="6" max="6" width="11.85546875" customWidth="true" style="9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11"/>
    <col min="12" max="12" width="16.7109375" customWidth="true" style="598"/>
    <col min="13" max="13" width="20.42578125" customWidth="true" style="0"/>
  </cols>
  <sheetData>
    <row r="1" spans="1:21" customHeight="1" ht="9.95" s="173" customFormat="1">
      <c r="A1" s="173" t="s">
        <v>0</v>
      </c>
      <c r="J1" s="174"/>
      <c r="L1" s="175"/>
    </row>
    <row r="2" spans="1:21" customHeight="1" ht="9.95" s="173" customFormat="1">
      <c r="A2" s="173" t="s">
        <v>1</v>
      </c>
      <c r="J2" s="174"/>
      <c r="L2" s="175"/>
    </row>
    <row r="3" spans="1:21" customHeight="1" ht="9.95" s="173" customFormat="1">
      <c r="A3" s="173" t="s">
        <v>2</v>
      </c>
      <c r="J3" s="174"/>
      <c r="L3" s="175"/>
    </row>
    <row r="4" spans="1:21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21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21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21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21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584</v>
      </c>
    </row>
    <row r="9" spans="1:21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21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21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21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21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21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21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21" customHeight="1" ht="17.1" s="531" customFormat="1">
      <c r="A16" s="696" t="s">
        <v>24</v>
      </c>
      <c r="B16" s="15"/>
      <c r="C16" s="15"/>
      <c r="D16" s="15"/>
      <c r="E16" s="15"/>
      <c r="F16" s="15"/>
      <c r="G16" s="1002"/>
      <c r="H16" s="1003"/>
      <c r="I16" s="1003"/>
      <c r="J16" s="1003"/>
      <c r="K16" s="1068"/>
      <c r="L16" s="592"/>
    </row>
    <row r="17" spans="1:21" customHeight="1" ht="17.1" s="531" customFormat="1">
      <c r="A17" s="59" t="s">
        <v>25</v>
      </c>
      <c r="B17" s="15"/>
      <c r="C17" s="15"/>
      <c r="D17" s="15"/>
      <c r="E17" s="15"/>
      <c r="F17" s="15"/>
      <c r="G17" s="1006"/>
      <c r="H17" s="1007"/>
      <c r="I17" s="1007"/>
      <c r="J17" s="1007"/>
      <c r="K17" s="1068"/>
      <c r="L17" s="592"/>
    </row>
    <row r="18" spans="1:21" customHeight="1" ht="17.1" s="2" customFormat="1">
      <c r="B18" s="9" t="s">
        <v>26</v>
      </c>
      <c r="C18" s="9"/>
      <c r="D18" s="9"/>
      <c r="E18" s="9"/>
      <c r="F18" s="9"/>
      <c r="G18" s="213" t="s">
        <v>27</v>
      </c>
      <c r="H18" s="645">
        <v>3419280</v>
      </c>
      <c r="I18" s="645">
        <v>1837726.23</v>
      </c>
      <c r="J18" s="645">
        <f>K18-I18</f>
        <v>1917361.77</v>
      </c>
      <c r="K18" s="645">
        <v>3755088</v>
      </c>
      <c r="L18" s="615">
        <v>3865092</v>
      </c>
    </row>
    <row r="19" spans="1:21" customHeight="1" ht="17.1" s="2" customFormat="1">
      <c r="B19" s="9" t="s">
        <v>28</v>
      </c>
      <c r="C19" s="9"/>
      <c r="D19" s="9"/>
      <c r="E19" s="9"/>
      <c r="F19" s="9"/>
      <c r="G19" s="213" t="s">
        <v>29</v>
      </c>
      <c r="H19" s="616">
        <v>216000</v>
      </c>
      <c r="I19" s="616">
        <v>115909.09</v>
      </c>
      <c r="J19" s="616">
        <f>K19-I19</f>
        <v>124090.91</v>
      </c>
      <c r="K19" s="616">
        <v>240000</v>
      </c>
      <c r="L19" s="650">
        <v>240000</v>
      </c>
    </row>
    <row r="20" spans="1:21" customHeight="1" ht="17.1" s="2" customFormat="1">
      <c r="B20" s="9" t="s">
        <v>30</v>
      </c>
      <c r="C20" s="9"/>
      <c r="D20" s="9"/>
      <c r="E20" s="9"/>
      <c r="F20" s="9"/>
      <c r="G20" s="213" t="s">
        <v>31</v>
      </c>
      <c r="H20" s="616">
        <v>135000</v>
      </c>
      <c r="I20" s="616">
        <v>67500</v>
      </c>
      <c r="J20" s="616">
        <f>K20-I20</f>
        <v>67500</v>
      </c>
      <c r="K20" s="616">
        <v>135000</v>
      </c>
      <c r="L20" s="650">
        <v>135000</v>
      </c>
    </row>
    <row r="21" spans="1:21" customHeight="1" ht="17.1" s="2" customFormat="1">
      <c r="B21" s="9" t="s">
        <v>32</v>
      </c>
      <c r="C21" s="9"/>
      <c r="D21" s="9"/>
      <c r="E21" s="9"/>
      <c r="F21" s="9"/>
      <c r="G21" s="213" t="s">
        <v>33</v>
      </c>
      <c r="H21" s="616">
        <v>135000</v>
      </c>
      <c r="I21" s="616">
        <v>67500</v>
      </c>
      <c r="J21" s="616">
        <f>K21-I21</f>
        <v>67500</v>
      </c>
      <c r="K21" s="616">
        <v>135000</v>
      </c>
      <c r="L21" s="650">
        <v>135000</v>
      </c>
    </row>
    <row r="22" spans="1:21" customHeight="1" ht="17.1" s="2" customFormat="1">
      <c r="B22" s="9" t="s">
        <v>34</v>
      </c>
      <c r="C22" s="9"/>
      <c r="D22" s="9"/>
      <c r="E22" s="9"/>
      <c r="F22" s="9"/>
      <c r="G22" s="213" t="s">
        <v>53</v>
      </c>
      <c r="H22" s="616">
        <v>54000</v>
      </c>
      <c r="I22" s="616">
        <v>54000</v>
      </c>
      <c r="J22" s="616">
        <f>K22-I22</f>
        <v>6000</v>
      </c>
      <c r="K22" s="616">
        <v>60000</v>
      </c>
      <c r="L22" s="650">
        <v>60000</v>
      </c>
    </row>
    <row r="23" spans="1:21" customHeight="1" ht="17.1" s="2" customFormat="1">
      <c r="B23" s="9" t="s">
        <v>585</v>
      </c>
      <c r="C23" s="9"/>
      <c r="D23" s="9"/>
      <c r="E23" s="9"/>
      <c r="F23" s="9"/>
      <c r="G23" s="213" t="s">
        <v>393</v>
      </c>
      <c r="H23" s="616">
        <v>43275</v>
      </c>
      <c r="I23" s="616">
        <v>18925</v>
      </c>
      <c r="J23" s="616">
        <f>K23-I23</f>
        <v>53075</v>
      </c>
      <c r="K23" s="616">
        <v>72000</v>
      </c>
      <c r="L23" s="650">
        <v>72000</v>
      </c>
    </row>
    <row r="24" spans="1:21" customHeight="1" ht="17.1" s="2" customFormat="1">
      <c r="B24" s="9" t="s">
        <v>586</v>
      </c>
      <c r="C24" s="9"/>
      <c r="D24" s="9"/>
      <c r="E24" s="9"/>
      <c r="F24" s="9"/>
      <c r="G24" s="213" t="s">
        <v>395</v>
      </c>
      <c r="H24" s="616">
        <v>4650</v>
      </c>
      <c r="I24" s="616">
        <v>2100</v>
      </c>
      <c r="J24" s="616">
        <f>K24-I24</f>
        <v>5100</v>
      </c>
      <c r="K24" s="616">
        <v>7200</v>
      </c>
      <c r="L24" s="650">
        <v>7200</v>
      </c>
    </row>
    <row r="25" spans="1:21" customHeight="1" ht="17.1" s="2" customFormat="1">
      <c r="B25" s="9" t="s">
        <v>409</v>
      </c>
      <c r="C25" s="9"/>
      <c r="D25" s="9"/>
      <c r="E25" s="9"/>
      <c r="F25" s="9"/>
      <c r="G25" s="213" t="s">
        <v>410</v>
      </c>
      <c r="H25" s="616">
        <v>145859</v>
      </c>
      <c r="I25" s="616">
        <v>66639.5</v>
      </c>
      <c r="J25" s="616">
        <f>K25-I25</f>
        <v>165725.5</v>
      </c>
      <c r="K25" s="616">
        <v>232365</v>
      </c>
      <c r="L25" s="650">
        <v>237591</v>
      </c>
    </row>
    <row r="26" spans="1:21" customHeight="1" ht="17.1" s="2" customFormat="1">
      <c r="B26" s="9" t="s">
        <v>36</v>
      </c>
      <c r="C26" s="9"/>
      <c r="D26" s="9"/>
      <c r="E26" s="9"/>
      <c r="F26" s="9"/>
      <c r="G26" s="213" t="s">
        <v>37</v>
      </c>
      <c r="H26" s="616">
        <v>119637.63</v>
      </c>
      <c r="I26" s="616">
        <v>29767.64</v>
      </c>
      <c r="J26" s="616">
        <f>K26-I26</f>
        <v>120232.36</v>
      </c>
      <c r="K26" s="616">
        <v>150000</v>
      </c>
      <c r="L26" s="650">
        <v>150000</v>
      </c>
    </row>
    <row r="27" spans="1:21" customHeight="1" ht="17.1" s="2" customFormat="1">
      <c r="B27" s="9" t="s">
        <v>38</v>
      </c>
      <c r="C27" s="9"/>
      <c r="D27" s="9"/>
      <c r="E27" s="9"/>
      <c r="F27" s="9"/>
      <c r="G27" s="213" t="s">
        <v>39</v>
      </c>
      <c r="H27" s="616">
        <v>284940</v>
      </c>
      <c r="I27" s="616">
        <v>0</v>
      </c>
      <c r="J27" s="616">
        <f>K27-I27</f>
        <v>312924</v>
      </c>
      <c r="K27" s="616">
        <v>312924</v>
      </c>
      <c r="L27" s="650">
        <v>322091</v>
      </c>
    </row>
    <row r="28" spans="1:21" customHeight="1" ht="17.1" s="2" customFormat="1">
      <c r="B28" s="9" t="s">
        <v>40</v>
      </c>
      <c r="C28" s="9"/>
      <c r="D28" s="9"/>
      <c r="E28" s="9"/>
      <c r="F28" s="9"/>
      <c r="G28" s="213" t="s">
        <v>41</v>
      </c>
      <c r="H28" s="616">
        <v>45000</v>
      </c>
      <c r="I28" s="616">
        <v>0</v>
      </c>
      <c r="J28" s="616">
        <f>K28-I28</f>
        <v>50000</v>
      </c>
      <c r="K28" s="616">
        <v>50000</v>
      </c>
      <c r="L28" s="650">
        <v>50000</v>
      </c>
    </row>
    <row r="29" spans="1:21" customHeight="1" ht="17.1" s="2" customFormat="1">
      <c r="B29" s="9" t="s">
        <v>42</v>
      </c>
      <c r="C29" s="9"/>
      <c r="D29" s="9"/>
      <c r="E29" s="9"/>
      <c r="F29" s="618"/>
      <c r="G29" s="213" t="s">
        <v>43</v>
      </c>
      <c r="H29" s="1069">
        <v>329940</v>
      </c>
      <c r="I29" s="1069">
        <v>293211</v>
      </c>
      <c r="J29" s="616">
        <f>K29-I29</f>
        <v>69713</v>
      </c>
      <c r="K29" s="1069">
        <v>362924</v>
      </c>
      <c r="L29" s="1070">
        <f>SUM(F30:F31)</f>
        <v>372091</v>
      </c>
    </row>
    <row r="30" spans="1:21" customHeight="1" ht="17.1" s="2" customFormat="1">
      <c r="C30" s="37" t="s">
        <v>44</v>
      </c>
      <c r="D30" s="9"/>
      <c r="E30" s="9"/>
      <c r="F30" s="539">
        <f>L27</f>
        <v>322091</v>
      </c>
      <c r="G30" s="213"/>
      <c r="H30" s="1069"/>
      <c r="I30" s="1069"/>
      <c r="J30" s="1069"/>
      <c r="K30" s="1069"/>
      <c r="L30" s="1070"/>
    </row>
    <row r="31" spans="1:21" customHeight="1" ht="17.1" s="2" customFormat="1">
      <c r="C31" s="37" t="s">
        <v>45</v>
      </c>
      <c r="D31" s="9"/>
      <c r="E31" s="9"/>
      <c r="F31" s="618">
        <f>L28</f>
        <v>50000</v>
      </c>
      <c r="G31" s="213"/>
      <c r="H31" s="1069"/>
      <c r="I31" s="1069"/>
      <c r="J31" s="1069"/>
      <c r="K31" s="1069"/>
      <c r="L31" s="1070"/>
    </row>
    <row r="32" spans="1:21" customHeight="1" ht="17.1" s="2" customFormat="1">
      <c r="B32" s="9" t="s">
        <v>46</v>
      </c>
      <c r="C32" s="9"/>
      <c r="D32" s="9"/>
      <c r="E32" s="9"/>
      <c r="F32" s="9"/>
      <c r="G32" s="213" t="s">
        <v>47</v>
      </c>
      <c r="H32" s="619">
        <v>410313.6</v>
      </c>
      <c r="I32" s="619">
        <v>220481.47</v>
      </c>
      <c r="J32" s="619">
        <f>K32-I32</f>
        <v>230129.09</v>
      </c>
      <c r="K32" s="619">
        <v>450610.56</v>
      </c>
      <c r="L32" s="755">
        <v>463811.04</v>
      </c>
    </row>
    <row r="33" spans="1:21" customHeight="1" ht="17.1" s="550" customFormat="1">
      <c r="A33" s="6" t="s">
        <v>408</v>
      </c>
      <c r="B33" s="6"/>
      <c r="C33" s="6"/>
      <c r="D33" s="6"/>
      <c r="E33" s="6"/>
      <c r="F33" s="6"/>
      <c r="G33" s="712"/>
      <c r="H33" s="627">
        <f>SUM(H18:H32)</f>
        <v>5342895.23</v>
      </c>
      <c r="I33" s="627">
        <f>SUM(I18:I32)</f>
        <v>2773759.93</v>
      </c>
      <c r="J33" s="627">
        <f>SUM(J18:J32)</f>
        <v>3189351.63</v>
      </c>
      <c r="K33" s="627">
        <f>SUM(K18:K32)</f>
        <v>5963111.56</v>
      </c>
      <c r="L33" s="713">
        <f>SUM(L18:L32)</f>
        <v>6109876.04</v>
      </c>
    </row>
    <row r="34" spans="1:21" customHeight="1" ht="17.1" s="2" customFormat="1">
      <c r="A34" s="569"/>
      <c r="B34" s="73"/>
      <c r="C34" s="73"/>
      <c r="D34" s="73"/>
      <c r="E34" s="73"/>
      <c r="F34" s="73"/>
      <c r="G34" s="814"/>
      <c r="H34" s="573"/>
      <c r="I34" s="573"/>
      <c r="J34" s="573"/>
      <c r="K34" s="573"/>
      <c r="L34" s="813"/>
    </row>
    <row r="35" spans="1:21" customHeight="1" ht="17.1" s="531" customFormat="1">
      <c r="A35" s="59" t="s">
        <v>25</v>
      </c>
      <c r="B35" s="15"/>
      <c r="C35" s="15"/>
      <c r="D35" s="15"/>
      <c r="E35" s="15"/>
      <c r="F35" s="15"/>
      <c r="G35" s="1006"/>
      <c r="H35" s="1007"/>
      <c r="I35" s="1007"/>
      <c r="J35" s="1007"/>
      <c r="K35" s="1068"/>
      <c r="L35" s="592"/>
    </row>
    <row r="36" spans="1:21" customHeight="1" ht="17.1" s="2" customFormat="1">
      <c r="B36" s="9" t="s">
        <v>48</v>
      </c>
      <c r="C36" s="9"/>
      <c r="D36" s="9"/>
      <c r="E36" s="9"/>
      <c r="F36" s="9"/>
      <c r="G36" s="213" t="s">
        <v>49</v>
      </c>
      <c r="H36" s="537">
        <v>10800</v>
      </c>
      <c r="I36" s="537">
        <v>5800</v>
      </c>
      <c r="J36" s="616">
        <f>K36-I36</f>
        <v>6200</v>
      </c>
      <c r="K36" s="537">
        <v>12000</v>
      </c>
      <c r="L36" s="533">
        <v>12000</v>
      </c>
    </row>
    <row r="37" spans="1:21" customHeight="1" ht="17.1" s="2" customFormat="1">
      <c r="B37" s="9" t="s">
        <v>50</v>
      </c>
      <c r="C37" s="9"/>
      <c r="D37" s="9"/>
      <c r="E37" s="9"/>
      <c r="F37" s="9"/>
      <c r="G37" s="213" t="s">
        <v>51</v>
      </c>
      <c r="H37" s="537">
        <v>40881.1</v>
      </c>
      <c r="I37" s="537">
        <v>22000.04</v>
      </c>
      <c r="J37" s="616">
        <f>K37-I37</f>
        <v>47918.92</v>
      </c>
      <c r="K37" s="537">
        <v>69918.96</v>
      </c>
      <c r="L37" s="533">
        <v>83316.6</v>
      </c>
    </row>
    <row r="38" spans="1:21" customHeight="1" ht="17.1" s="2" customFormat="1">
      <c r="B38" s="9" t="s">
        <v>52</v>
      </c>
      <c r="C38" s="9"/>
      <c r="D38" s="9"/>
      <c r="E38" s="9"/>
      <c r="F38" s="9"/>
      <c r="G38" s="213" t="s">
        <v>53</v>
      </c>
      <c r="H38" s="537">
        <v>10800</v>
      </c>
      <c r="I38" s="537">
        <v>5800</v>
      </c>
      <c r="J38" s="616">
        <f>K38-I38</f>
        <v>6200</v>
      </c>
      <c r="K38" s="537">
        <v>12000</v>
      </c>
      <c r="L38" s="533">
        <v>12000</v>
      </c>
    </row>
    <row r="39" spans="1:21" customHeight="1" ht="17.1" s="2" customFormat="1">
      <c r="B39" s="9" t="s">
        <v>58</v>
      </c>
      <c r="C39" s="9"/>
      <c r="D39" s="9"/>
      <c r="E39" s="9"/>
      <c r="F39" s="9"/>
      <c r="G39" s="213" t="s">
        <v>59</v>
      </c>
      <c r="H39" s="541">
        <v>225000</v>
      </c>
      <c r="I39" s="541">
        <v>0</v>
      </c>
      <c r="J39" s="541">
        <v>0</v>
      </c>
      <c r="K39" s="541">
        <v>0</v>
      </c>
      <c r="L39" s="557">
        <v>0</v>
      </c>
    </row>
    <row r="40" spans="1:21" customHeight="1" ht="17.1" s="550" customFormat="1">
      <c r="A40" s="6" t="s">
        <v>408</v>
      </c>
      <c r="B40" s="6"/>
      <c r="C40" s="6"/>
      <c r="D40" s="6"/>
      <c r="E40" s="6"/>
      <c r="F40" s="6"/>
      <c r="G40" s="712"/>
      <c r="H40" s="627">
        <f>SUM(H36:H39)</f>
        <v>287481.1</v>
      </c>
      <c r="I40" s="627">
        <f>SUM(I36:I39)</f>
        <v>33600.04</v>
      </c>
      <c r="J40" s="627">
        <f>SUM(J36:J39)</f>
        <v>60318.92</v>
      </c>
      <c r="K40" s="627">
        <f>SUM(K36:K39)</f>
        <v>93918.96</v>
      </c>
      <c r="L40" s="713">
        <f>SUM(L36:L39)</f>
        <v>107316.6</v>
      </c>
    </row>
    <row r="41" spans="1:21" customHeight="1" ht="17.1" s="626" customFormat="1">
      <c r="A41" s="6" t="s">
        <v>61</v>
      </c>
      <c r="B41" s="6"/>
      <c r="C41" s="6"/>
      <c r="D41" s="6"/>
      <c r="E41" s="6"/>
      <c r="F41" s="6"/>
      <c r="G41" s="253"/>
      <c r="H41" s="627">
        <f>H40+H33</f>
        <v>5630376.33</v>
      </c>
      <c r="I41" s="627">
        <f>I40+I33</f>
        <v>2807359.97</v>
      </c>
      <c r="J41" s="627">
        <f>J40+J33</f>
        <v>3249670.55</v>
      </c>
      <c r="K41" s="627">
        <f>K40+K33</f>
        <v>6057030.52</v>
      </c>
      <c r="L41" s="713">
        <f>L40+L33</f>
        <v>6217192.64</v>
      </c>
    </row>
    <row r="42" spans="1:21" customHeight="1" ht="17.1" s="626" customFormat="1">
      <c r="A42" s="6"/>
      <c r="B42" s="6"/>
      <c r="C42" s="6"/>
      <c r="D42" s="6"/>
      <c r="E42" s="6"/>
      <c r="F42" s="6"/>
      <c r="G42" s="253"/>
      <c r="H42" s="627"/>
      <c r="I42" s="627"/>
      <c r="J42" s="627"/>
      <c r="K42" s="627"/>
      <c r="L42" s="629"/>
    </row>
    <row r="43" spans="1:21" customHeight="1" ht="17.1" s="531" customFormat="1">
      <c r="A43" s="59" t="s">
        <v>62</v>
      </c>
      <c r="B43" s="15"/>
      <c r="C43" s="15"/>
      <c r="D43" s="15"/>
      <c r="E43" s="15"/>
      <c r="F43" s="15"/>
      <c r="G43" s="213"/>
      <c r="H43" s="537"/>
      <c r="I43" s="537"/>
      <c r="J43" s="537"/>
      <c r="K43" s="537"/>
      <c r="L43" s="533"/>
    </row>
    <row r="44" spans="1:21" customHeight="1" ht="17.1" s="2" customFormat="1">
      <c r="B44" s="9" t="s">
        <v>63</v>
      </c>
      <c r="C44" s="9"/>
      <c r="D44" s="9"/>
      <c r="E44" s="9"/>
      <c r="F44" s="9"/>
      <c r="G44" s="238" t="s">
        <v>64</v>
      </c>
      <c r="H44" s="645">
        <v>110180</v>
      </c>
      <c r="I44" s="645">
        <v>64562</v>
      </c>
      <c r="J44" s="645">
        <f>K44-I44</f>
        <v>185438</v>
      </c>
      <c r="K44" s="645">
        <v>250000</v>
      </c>
      <c r="L44" s="615">
        <v>150000</v>
      </c>
    </row>
    <row r="45" spans="1:21" customHeight="1" ht="17.1" s="2" customFormat="1">
      <c r="B45" s="9" t="s">
        <v>72</v>
      </c>
      <c r="C45" s="9"/>
      <c r="D45" s="9"/>
      <c r="E45" s="9"/>
      <c r="F45" s="9"/>
      <c r="G45" s="238" t="s">
        <v>73</v>
      </c>
      <c r="H45" s="616">
        <v>28047</v>
      </c>
      <c r="I45" s="616">
        <v>0</v>
      </c>
      <c r="J45" s="616">
        <f>K45-I45</f>
        <v>100000</v>
      </c>
      <c r="K45" s="616">
        <v>100000</v>
      </c>
      <c r="L45" s="650">
        <v>60000</v>
      </c>
    </row>
    <row r="46" spans="1:21" customHeight="1" ht="17.1" s="2" customFormat="1">
      <c r="B46" s="9" t="s">
        <v>234</v>
      </c>
      <c r="C46" s="9"/>
      <c r="D46" s="9"/>
      <c r="E46" s="9"/>
      <c r="F46" s="9"/>
      <c r="G46" s="238" t="s">
        <v>77</v>
      </c>
      <c r="H46" s="616">
        <v>85539</v>
      </c>
      <c r="I46" s="616">
        <v>49601</v>
      </c>
      <c r="J46" s="616">
        <f>K46-I46</f>
        <v>100399</v>
      </c>
      <c r="K46" s="616">
        <v>150000</v>
      </c>
      <c r="L46" s="650">
        <v>100000</v>
      </c>
    </row>
    <row r="47" spans="1:21" customHeight="1" ht="17.1" s="2" customFormat="1">
      <c r="B47" s="9" t="s">
        <v>587</v>
      </c>
      <c r="C47" s="9"/>
      <c r="D47" s="9"/>
      <c r="E47" s="9"/>
      <c r="F47" s="9"/>
      <c r="G47" s="238" t="s">
        <v>588</v>
      </c>
      <c r="H47" s="616">
        <v>198680</v>
      </c>
      <c r="I47" s="616">
        <v>49280</v>
      </c>
      <c r="J47" s="616">
        <f>K47-I47</f>
        <v>250720</v>
      </c>
      <c r="K47" s="616">
        <v>300000</v>
      </c>
      <c r="L47" s="650">
        <v>300000</v>
      </c>
    </row>
    <row r="48" spans="1:21" customHeight="1" ht="17.1" s="2" customFormat="1">
      <c r="B48" s="9" t="s">
        <v>79</v>
      </c>
      <c r="C48" s="9"/>
      <c r="D48" s="9"/>
      <c r="E48" s="9"/>
      <c r="F48" s="9"/>
      <c r="G48" s="238" t="s">
        <v>80</v>
      </c>
      <c r="H48" s="616">
        <v>399858.49</v>
      </c>
      <c r="I48" s="616">
        <v>149892.27</v>
      </c>
      <c r="J48" s="616">
        <f>K48-I48</f>
        <v>450107.73</v>
      </c>
      <c r="K48" s="616">
        <v>600000</v>
      </c>
      <c r="L48" s="650">
        <v>600000</v>
      </c>
    </row>
    <row r="49" spans="1:21" customHeight="1" ht="17.1" s="2" customFormat="1">
      <c r="B49" s="9" t="s">
        <v>81</v>
      </c>
      <c r="C49" s="9"/>
      <c r="D49" s="9"/>
      <c r="E49" s="9"/>
      <c r="F49" s="9"/>
      <c r="G49" s="238" t="s">
        <v>82</v>
      </c>
      <c r="H49" s="616">
        <v>478245</v>
      </c>
      <c r="I49" s="616">
        <v>329755</v>
      </c>
      <c r="J49" s="616">
        <f>K49-I49</f>
        <v>470245</v>
      </c>
      <c r="K49" s="616">
        <v>800000</v>
      </c>
      <c r="L49" s="650">
        <v>400000</v>
      </c>
    </row>
    <row r="50" spans="1:21" customHeight="1" ht="17.1" s="2" customFormat="1">
      <c r="B50" s="9" t="s">
        <v>283</v>
      </c>
      <c r="C50" s="9"/>
      <c r="D50" s="9"/>
      <c r="E50" s="9"/>
      <c r="F50" s="9"/>
      <c r="G50" s="238" t="s">
        <v>96</v>
      </c>
      <c r="H50" s="616">
        <v>13753.93</v>
      </c>
      <c r="I50" s="616">
        <v>4760</v>
      </c>
      <c r="J50" s="616">
        <f>K50-I50</f>
        <v>35240</v>
      </c>
      <c r="K50" s="616">
        <v>40000</v>
      </c>
      <c r="L50" s="650">
        <v>30000</v>
      </c>
    </row>
    <row r="51" spans="1:21" customHeight="1" ht="17.1" s="2" customFormat="1">
      <c r="B51" s="9" t="s">
        <v>589</v>
      </c>
      <c r="C51" s="9"/>
      <c r="D51" s="9"/>
      <c r="E51" s="9"/>
      <c r="F51" s="9"/>
      <c r="G51" s="238" t="s">
        <v>100</v>
      </c>
      <c r="H51" s="619">
        <v>46402.86</v>
      </c>
      <c r="I51" s="619">
        <v>18090</v>
      </c>
      <c r="J51" s="619">
        <f>K51-I51</f>
        <v>131910</v>
      </c>
      <c r="K51" s="619">
        <v>150000</v>
      </c>
      <c r="L51" s="755">
        <v>150000</v>
      </c>
    </row>
    <row r="52" spans="1:21" customHeight="1" ht="17.1" s="550" customFormat="1">
      <c r="A52" s="6" t="s">
        <v>75</v>
      </c>
      <c r="B52" s="6"/>
      <c r="C52" s="6"/>
      <c r="D52" s="6"/>
      <c r="E52" s="6"/>
      <c r="F52" s="6"/>
      <c r="G52" s="712"/>
      <c r="H52" s="627">
        <f>SUM(H44:H51)</f>
        <v>1360706.28</v>
      </c>
      <c r="I52" s="627">
        <f>SUM(I44:I51)</f>
        <v>665940.27</v>
      </c>
      <c r="J52" s="627">
        <f>SUM(J44:J51)</f>
        <v>1724059.73</v>
      </c>
      <c r="K52" s="627">
        <f>SUM(K44:K51)</f>
        <v>2390000</v>
      </c>
      <c r="L52" s="629">
        <f>SUM(L44:L51)</f>
        <v>1790000</v>
      </c>
    </row>
    <row r="53" spans="1:21" customHeight="1" ht="17.1" s="2" customFormat="1">
      <c r="A53" s="569"/>
      <c r="B53" s="73"/>
      <c r="C53" s="73"/>
      <c r="D53" s="73"/>
      <c r="E53" s="73"/>
      <c r="F53" s="73"/>
      <c r="G53" s="572"/>
      <c r="H53" s="573"/>
      <c r="I53" s="573"/>
      <c r="J53" s="573"/>
      <c r="K53" s="573"/>
      <c r="L53" s="813"/>
    </row>
    <row r="54" spans="1:21" customHeight="1" ht="17.1" s="531" customFormat="1">
      <c r="A54" s="59" t="s">
        <v>62</v>
      </c>
      <c r="B54" s="15"/>
      <c r="C54" s="15"/>
      <c r="D54" s="15"/>
      <c r="E54" s="15"/>
      <c r="F54" s="15"/>
      <c r="G54" s="213"/>
      <c r="H54" s="537"/>
      <c r="I54" s="537"/>
      <c r="J54" s="537"/>
      <c r="K54" s="537"/>
      <c r="L54" s="533"/>
    </row>
    <row r="55" spans="1:21" customHeight="1" ht="17.1" s="2" customFormat="1">
      <c r="B55" s="9" t="s">
        <v>239</v>
      </c>
      <c r="C55" s="9"/>
      <c r="D55" s="9"/>
      <c r="E55" s="9"/>
      <c r="F55" s="9"/>
      <c r="G55" s="213" t="s">
        <v>123</v>
      </c>
      <c r="H55" s="537">
        <v>838.12</v>
      </c>
      <c r="I55" s="537">
        <v>0</v>
      </c>
      <c r="J55" s="616">
        <f>K55-I55</f>
        <v>3500</v>
      </c>
      <c r="K55" s="537">
        <v>3500</v>
      </c>
      <c r="L55" s="533">
        <v>3500</v>
      </c>
    </row>
    <row r="56" spans="1:21" customHeight="1" ht="17.1" s="2" customFormat="1">
      <c r="B56" s="9" t="s">
        <v>124</v>
      </c>
      <c r="C56" s="9"/>
      <c r="D56" s="9"/>
      <c r="E56" s="9"/>
      <c r="F56" s="9"/>
      <c r="G56" s="238" t="s">
        <v>125</v>
      </c>
      <c r="H56" s="537">
        <v>0</v>
      </c>
      <c r="I56" s="537">
        <v>0</v>
      </c>
      <c r="J56" s="616">
        <f>K56-I56</f>
        <v>1500</v>
      </c>
      <c r="K56" s="537">
        <v>1500</v>
      </c>
      <c r="L56" s="533">
        <v>1500</v>
      </c>
    </row>
    <row r="57" spans="1:21" customHeight="1" ht="17.1" s="2" customFormat="1">
      <c r="B57" s="9" t="s">
        <v>129</v>
      </c>
      <c r="C57" s="9"/>
      <c r="D57" s="9"/>
      <c r="E57" s="9"/>
      <c r="F57" s="9"/>
      <c r="G57" s="238" t="s">
        <v>130</v>
      </c>
      <c r="H57" s="537">
        <v>0</v>
      </c>
      <c r="I57" s="537">
        <v>0</v>
      </c>
      <c r="J57" s="616">
        <f>K57-I57</f>
        <v>20000</v>
      </c>
      <c r="K57" s="537">
        <v>20000</v>
      </c>
      <c r="L57" s="533">
        <v>15000</v>
      </c>
    </row>
    <row r="58" spans="1:21" customHeight="1" ht="17.1" s="2" customFormat="1">
      <c r="B58" s="9" t="s">
        <v>142</v>
      </c>
      <c r="C58" s="9"/>
      <c r="D58" s="9"/>
      <c r="E58" s="9"/>
      <c r="F58" s="9"/>
      <c r="G58" s="213" t="s">
        <v>143</v>
      </c>
      <c r="H58" s="537">
        <v>248543.24</v>
      </c>
      <c r="I58" s="537">
        <v>102727.09</v>
      </c>
      <c r="J58" s="616">
        <f>K58-I58</f>
        <v>247272.91</v>
      </c>
      <c r="K58" s="537">
        <v>350000</v>
      </c>
      <c r="L58" s="533">
        <v>200000</v>
      </c>
    </row>
    <row r="59" spans="1:21" customHeight="1" ht="17.1" s="2" customFormat="1">
      <c r="B59" s="671" t="s">
        <v>150</v>
      </c>
      <c r="C59" s="9"/>
      <c r="D59" s="9"/>
      <c r="E59" s="9"/>
      <c r="F59" s="9"/>
      <c r="G59" s="213" t="s">
        <v>107</v>
      </c>
      <c r="H59" s="537">
        <v>1481424.57</v>
      </c>
      <c r="I59" s="537">
        <v>803778.33</v>
      </c>
      <c r="J59" s="616">
        <f>K59-I59</f>
        <v>1196221.67</v>
      </c>
      <c r="K59" s="537">
        <v>2000000</v>
      </c>
      <c r="L59" s="533">
        <v>1000000</v>
      </c>
    </row>
    <row r="60" spans="1:21" customHeight="1" ht="17.1" s="2" customFormat="1">
      <c r="B60" s="29" t="s">
        <v>590</v>
      </c>
      <c r="C60" s="9"/>
      <c r="D60" s="9"/>
      <c r="E60" s="9"/>
      <c r="F60" s="9"/>
      <c r="G60" s="213"/>
      <c r="H60" s="541">
        <v>0</v>
      </c>
      <c r="I60" s="541">
        <v>0</v>
      </c>
      <c r="J60" s="541">
        <v>0</v>
      </c>
      <c r="K60" s="541">
        <v>0</v>
      </c>
      <c r="L60" s="557">
        <v>0</v>
      </c>
    </row>
    <row r="61" spans="1:21" customHeight="1" ht="17.1" s="550" customFormat="1">
      <c r="A61" s="6" t="s">
        <v>75</v>
      </c>
      <c r="B61" s="6"/>
      <c r="C61" s="6"/>
      <c r="D61" s="6"/>
      <c r="E61" s="6"/>
      <c r="F61" s="6"/>
      <c r="G61" s="712"/>
      <c r="H61" s="627">
        <f>SUM(H55:H60)</f>
        <v>1730805.93</v>
      </c>
      <c r="I61" s="627">
        <f>SUM(I55:I60)</f>
        <v>906505.42</v>
      </c>
      <c r="J61" s="627">
        <f>SUM(J55:J60)</f>
        <v>1468494.58</v>
      </c>
      <c r="K61" s="627">
        <f>SUM(K55:K60)</f>
        <v>2375000</v>
      </c>
      <c r="L61" s="713">
        <f>SUM(L55:L60)</f>
        <v>1220000</v>
      </c>
    </row>
    <row r="62" spans="1:21" customHeight="1" ht="17.1" s="550" customFormat="1">
      <c r="A62" s="6" t="s">
        <v>160</v>
      </c>
      <c r="B62" s="6"/>
      <c r="C62" s="6"/>
      <c r="D62" s="6"/>
      <c r="E62" s="6"/>
      <c r="F62" s="6"/>
      <c r="G62" s="712"/>
      <c r="H62" s="627">
        <f>H61+H52</f>
        <v>3091512.21</v>
      </c>
      <c r="I62" s="627">
        <f>I61+I52</f>
        <v>1572445.69</v>
      </c>
      <c r="J62" s="627">
        <f>J61+J52</f>
        <v>3192554.31</v>
      </c>
      <c r="K62" s="627">
        <f>K61+K52</f>
        <v>4765000</v>
      </c>
      <c r="L62" s="713">
        <f>L61+L52</f>
        <v>3010000</v>
      </c>
    </row>
    <row r="63" spans="1:21" customHeight="1" ht="17.1" s="1058" customFormat="1">
      <c r="A63" s="6" t="s">
        <v>161</v>
      </c>
      <c r="B63" s="705"/>
      <c r="C63" s="705"/>
      <c r="D63" s="705"/>
      <c r="E63" s="705"/>
      <c r="F63" s="705"/>
      <c r="G63" s="243"/>
      <c r="H63" s="738">
        <f>H62+H41</f>
        <v>8721888.54</v>
      </c>
      <c r="I63" s="738">
        <f>I62+I41</f>
        <v>4379805.66</v>
      </c>
      <c r="J63" s="738">
        <f>J62+J41</f>
        <v>6442224.86</v>
      </c>
      <c r="K63" s="738">
        <f>K62+K41</f>
        <v>10822030.52</v>
      </c>
      <c r="L63" s="739">
        <f>L62+L41</f>
        <v>9227192.64</v>
      </c>
    </row>
    <row r="64" spans="1:21" customHeight="1" ht="17.1" s="550" customFormat="1">
      <c r="A64" s="6"/>
      <c r="B64" s="6"/>
      <c r="C64" s="6"/>
      <c r="D64" s="6"/>
      <c r="E64" s="6"/>
      <c r="F64" s="6"/>
      <c r="G64" s="712"/>
      <c r="H64" s="627"/>
      <c r="I64" s="627"/>
      <c r="J64" s="627"/>
      <c r="K64" s="627"/>
      <c r="L64" s="629"/>
    </row>
    <row r="65" spans="1:21" customHeight="1" ht="17.1" s="550" customFormat="1">
      <c r="A65" s="59" t="s">
        <v>162</v>
      </c>
      <c r="B65" s="6"/>
      <c r="C65" s="6"/>
      <c r="D65" s="6"/>
      <c r="E65" s="6"/>
      <c r="F65" s="6"/>
      <c r="G65" s="712"/>
      <c r="H65" s="627"/>
      <c r="I65" s="627"/>
      <c r="J65" s="627"/>
      <c r="K65" s="627"/>
      <c r="L65" s="629"/>
    </row>
    <row r="66" spans="1:21" customHeight="1" ht="17.1" s="550" customFormat="1">
      <c r="A66" s="6"/>
      <c r="B66" s="9" t="s">
        <v>163</v>
      </c>
      <c r="C66" s="9"/>
      <c r="D66" s="9"/>
      <c r="E66" s="9"/>
      <c r="F66" s="9"/>
      <c r="G66" s="238" t="s">
        <v>164</v>
      </c>
      <c r="H66" s="645">
        <v>26500</v>
      </c>
      <c r="I66" s="645">
        <v>0</v>
      </c>
      <c r="J66" s="645">
        <f>K66-I66</f>
        <v>190000</v>
      </c>
      <c r="K66" s="645">
        <v>190000</v>
      </c>
      <c r="L66" s="615">
        <v>25000</v>
      </c>
    </row>
    <row r="67" spans="1:21" customHeight="1" ht="17.1" s="550" customFormat="1">
      <c r="A67" s="6"/>
      <c r="B67" s="671" t="s">
        <v>248</v>
      </c>
      <c r="C67" s="9"/>
      <c r="D67" s="9"/>
      <c r="E67" s="9"/>
      <c r="F67" s="9"/>
      <c r="G67" s="213" t="s">
        <v>167</v>
      </c>
      <c r="H67" s="541">
        <v>29807</v>
      </c>
      <c r="I67" s="541">
        <v>0</v>
      </c>
      <c r="J67" s="541">
        <f>K67-I67</f>
        <v>100000</v>
      </c>
      <c r="K67" s="541">
        <v>100000</v>
      </c>
      <c r="L67" s="557">
        <v>25000</v>
      </c>
    </row>
    <row r="68" spans="1:21" customHeight="1" ht="17.1" s="550" customFormat="1">
      <c r="A68" s="6" t="s">
        <v>172</v>
      </c>
      <c r="B68" s="6"/>
      <c r="C68" s="6"/>
      <c r="D68" s="6"/>
      <c r="E68" s="6"/>
      <c r="F68" s="6"/>
      <c r="G68" s="712"/>
      <c r="H68" s="627">
        <f>SUM(H66:H67)</f>
        <v>56307</v>
      </c>
      <c r="I68" s="627">
        <f>SUM(I66:I67)</f>
        <v>0</v>
      </c>
      <c r="J68" s="627">
        <f>SUM(J66:J67)</f>
        <v>290000</v>
      </c>
      <c r="K68" s="627">
        <f>SUM(K66:K67)</f>
        <v>290000</v>
      </c>
      <c r="L68" s="629">
        <f>SUM(L66:L67)</f>
        <v>50000</v>
      </c>
    </row>
    <row r="69" spans="1:21" customHeight="1" ht="17.1" s="550" customFormat="1">
      <c r="A69" s="6"/>
      <c r="B69" s="6"/>
      <c r="C69" s="6"/>
      <c r="D69" s="6"/>
      <c r="E69" s="6"/>
      <c r="F69" s="6"/>
      <c r="G69" s="712"/>
      <c r="H69" s="627"/>
      <c r="I69" s="627"/>
      <c r="J69" s="627"/>
      <c r="K69" s="627"/>
      <c r="L69" s="629"/>
    </row>
    <row r="70" spans="1:21" customHeight="1" ht="17.1" s="550" customFormat="1">
      <c r="A70" s="6" t="s">
        <v>252</v>
      </c>
      <c r="B70" s="6"/>
      <c r="C70" s="6"/>
      <c r="D70" s="6"/>
      <c r="E70" s="6"/>
      <c r="F70" s="6"/>
      <c r="G70" s="712"/>
      <c r="H70" s="656">
        <f>H68+H63</f>
        <v>8778195.54</v>
      </c>
      <c r="I70" s="656">
        <f>I68+I63</f>
        <v>4379805.66</v>
      </c>
      <c r="J70" s="656">
        <f>J68+J63</f>
        <v>6732224.86</v>
      </c>
      <c r="K70" s="656">
        <f>K68+K63</f>
        <v>11112030.52</v>
      </c>
      <c r="L70" s="658">
        <f>L68+L63</f>
        <v>9277192.64</v>
      </c>
    </row>
    <row r="71" spans="1:21" customHeight="1" ht="17.1" s="9" customFormat="1">
      <c r="A71" s="876"/>
      <c r="B71" s="73"/>
      <c r="C71" s="73"/>
      <c r="D71" s="73"/>
      <c r="E71" s="73"/>
      <c r="F71" s="73"/>
      <c r="G71" s="720"/>
      <c r="H71" s="720"/>
      <c r="I71" s="720"/>
      <c r="J71" s="720"/>
      <c r="K71" s="262"/>
      <c r="L71" s="813"/>
    </row>
    <row r="72" spans="1:21" customHeight="1" ht="13.9" s="9" customFormat="1">
      <c r="A72" s="7"/>
      <c r="G72" s="591"/>
      <c r="H72" s="591"/>
      <c r="I72" s="591"/>
      <c r="J72" s="591"/>
      <c r="L72" s="533"/>
      <c r="M72" s="77"/>
    </row>
    <row r="73" spans="1:21" customHeight="1" ht="15" s="22" customFormat="1">
      <c r="A73" s="944" t="s">
        <v>435</v>
      </c>
      <c r="B73" s="21"/>
      <c r="C73" s="21"/>
      <c r="D73" s="21"/>
      <c r="E73" s="21"/>
      <c r="F73" s="21"/>
      <c r="G73" s="319"/>
      <c r="H73" s="319"/>
      <c r="I73" s="319"/>
      <c r="J73" s="319"/>
      <c r="K73" s="319"/>
      <c r="L73" s="193"/>
      <c r="M73" s="522"/>
      <c r="N73" s="522"/>
      <c r="O73" s="522"/>
      <c r="P73" s="522"/>
      <c r="Q73" s="522"/>
      <c r="R73" s="522"/>
      <c r="S73" s="522"/>
      <c r="T73" s="522"/>
      <c r="U73" s="522"/>
    </row>
    <row r="74" spans="1:21" customHeight="1" ht="15" s="9" customFormat="1">
      <c r="A74" s="948" t="s">
        <v>591</v>
      </c>
      <c r="B74" s="15"/>
      <c r="C74" s="15"/>
      <c r="D74" s="15"/>
      <c r="E74" s="15"/>
      <c r="F74" s="15"/>
      <c r="G74" s="213"/>
      <c r="H74" s="949"/>
      <c r="I74" s="949"/>
      <c r="J74" s="949"/>
      <c r="K74" s="949"/>
      <c r="L74" s="1071"/>
      <c r="M74" s="529"/>
      <c r="N74" s="529"/>
      <c r="O74" s="529"/>
      <c r="P74" s="529"/>
      <c r="Q74" s="529"/>
      <c r="R74" s="529"/>
      <c r="S74" s="529"/>
      <c r="T74" s="529"/>
      <c r="U74" s="529"/>
    </row>
    <row r="75" spans="1:21" customHeight="1" ht="15" s="9" customFormat="1">
      <c r="A75" s="950" t="s">
        <v>213</v>
      </c>
      <c r="B75" s="15"/>
      <c r="C75" s="15"/>
      <c r="D75" s="15"/>
      <c r="E75" s="15"/>
      <c r="F75" s="15"/>
      <c r="G75" s="213"/>
      <c r="H75" s="949"/>
      <c r="I75" s="949"/>
      <c r="J75" s="949"/>
      <c r="K75" s="949"/>
      <c r="L75" s="1071"/>
      <c r="M75" s="529"/>
      <c r="N75" s="529"/>
      <c r="O75" s="529"/>
      <c r="P75" s="529"/>
      <c r="Q75" s="529"/>
      <c r="R75" s="529"/>
      <c r="S75" s="529"/>
      <c r="T75" s="529"/>
      <c r="U75" s="529"/>
    </row>
    <row r="76" spans="1:21" customHeight="1" ht="15" s="9" customFormat="1">
      <c r="B76" s="9" t="s">
        <v>142</v>
      </c>
      <c r="C76" s="27"/>
      <c r="D76" s="27"/>
      <c r="E76" s="27"/>
      <c r="F76" s="951"/>
      <c r="G76" s="238" t="s">
        <v>143</v>
      </c>
      <c r="H76" s="949"/>
      <c r="I76" s="949"/>
      <c r="J76" s="949"/>
      <c r="K76" s="949"/>
      <c r="L76" s="1071"/>
      <c r="M76" s="529"/>
      <c r="N76" s="529"/>
      <c r="O76" s="529"/>
      <c r="P76" s="529"/>
      <c r="Q76" s="529"/>
      <c r="R76" s="529"/>
      <c r="S76" s="529"/>
      <c r="T76" s="529"/>
      <c r="U76" s="529"/>
    </row>
    <row r="77" spans="1:21" customHeight="1" ht="15" s="9" customFormat="1">
      <c r="C77" s="37" t="s">
        <v>592</v>
      </c>
      <c r="D77" s="27"/>
      <c r="E77" s="27"/>
      <c r="F77" s="951"/>
      <c r="G77" s="238"/>
      <c r="H77" s="949"/>
      <c r="I77" s="949"/>
      <c r="J77" s="949"/>
      <c r="K77" s="983"/>
      <c r="L77" s="77"/>
      <c r="M77" s="529"/>
      <c r="N77" s="529"/>
      <c r="O77" s="529"/>
      <c r="P77" s="529"/>
      <c r="Q77" s="529"/>
      <c r="R77" s="529"/>
      <c r="S77" s="529"/>
      <c r="T77" s="529"/>
      <c r="U77" s="529"/>
    </row>
    <row r="78" spans="1:21" customHeight="1" ht="15" s="9" customFormat="1">
      <c r="C78" s="29" t="s">
        <v>593</v>
      </c>
      <c r="D78" s="27"/>
      <c r="E78" s="27"/>
      <c r="F78" s="951"/>
      <c r="G78" s="238"/>
      <c r="H78" s="954">
        <v>0</v>
      </c>
      <c r="I78" s="954">
        <v>0</v>
      </c>
      <c r="J78" s="541">
        <f>K78-I78</f>
        <v>700000</v>
      </c>
      <c r="K78" s="954">
        <v>700000</v>
      </c>
      <c r="L78" s="1072">
        <v>700000</v>
      </c>
      <c r="M78" s="529"/>
      <c r="N78" s="529"/>
      <c r="O78" s="529"/>
      <c r="P78" s="529"/>
      <c r="Q78" s="529"/>
      <c r="R78" s="529"/>
      <c r="S78" s="529"/>
      <c r="T78" s="529"/>
      <c r="U78" s="529"/>
    </row>
    <row r="79" spans="1:21" customHeight="1" ht="15" s="968" customFormat="1">
      <c r="A79" s="956" t="s">
        <v>594</v>
      </c>
      <c r="B79" s="957"/>
      <c r="C79" s="957"/>
      <c r="D79" s="957"/>
      <c r="E79" s="957"/>
      <c r="F79" s="957"/>
      <c r="G79" s="966"/>
      <c r="H79" s="958">
        <f>SUM(H76:H78)</f>
        <v>0</v>
      </c>
      <c r="I79" s="958">
        <f>SUM(I76:I78)</f>
        <v>0</v>
      </c>
      <c r="J79" s="958">
        <f>SUM(J76:J78)</f>
        <v>700000</v>
      </c>
      <c r="K79" s="958">
        <f>SUM(K76:K78)</f>
        <v>700000</v>
      </c>
      <c r="L79" s="974">
        <f>SUM(L76:L78)</f>
        <v>700000</v>
      </c>
      <c r="M79" s="967"/>
      <c r="N79" s="967"/>
      <c r="O79" s="967"/>
      <c r="P79" s="967"/>
      <c r="Q79" s="967"/>
      <c r="R79" s="967"/>
      <c r="S79" s="967"/>
      <c r="T79" s="967"/>
      <c r="U79" s="967"/>
    </row>
    <row r="80" spans="1:21" customHeight="1" ht="15" s="9" customFormat="1">
      <c r="B80" s="1073"/>
      <c r="C80" s="1074"/>
      <c r="D80" s="27"/>
      <c r="E80" s="27"/>
      <c r="F80" s="951"/>
      <c r="G80" s="238"/>
      <c r="H80" s="238"/>
      <c r="I80" s="238"/>
      <c r="J80" s="238"/>
      <c r="K80" s="983"/>
      <c r="L80" s="77"/>
      <c r="M80" s="529"/>
      <c r="N80" s="529"/>
      <c r="O80" s="529"/>
      <c r="P80" s="529"/>
      <c r="Q80" s="529"/>
      <c r="R80" s="529"/>
      <c r="S80" s="529"/>
      <c r="T80" s="529"/>
      <c r="U80" s="529"/>
    </row>
    <row r="81" spans="1:21" customHeight="1" ht="15" s="9" customFormat="1">
      <c r="A81" s="948" t="s">
        <v>595</v>
      </c>
      <c r="B81" s="15"/>
      <c r="C81" s="15"/>
      <c r="D81" s="15"/>
      <c r="E81" s="15"/>
      <c r="F81" s="15"/>
      <c r="G81" s="213"/>
      <c r="H81" s="949"/>
      <c r="I81" s="949"/>
      <c r="J81" s="949"/>
      <c r="K81" s="949"/>
      <c r="L81" s="1071"/>
      <c r="M81" s="529"/>
      <c r="N81" s="529"/>
      <c r="O81" s="529"/>
      <c r="P81" s="529"/>
      <c r="Q81" s="529"/>
      <c r="R81" s="529"/>
      <c r="S81" s="529"/>
      <c r="T81" s="529"/>
      <c r="U81" s="529"/>
    </row>
    <row r="82" spans="1:21" customHeight="1" ht="15" s="9" customFormat="1">
      <c r="A82" s="950" t="s">
        <v>213</v>
      </c>
      <c r="B82" s="15"/>
      <c r="C82" s="15"/>
      <c r="D82" s="15"/>
      <c r="E82" s="15"/>
      <c r="F82" s="15"/>
      <c r="G82" s="213"/>
      <c r="H82" s="949"/>
      <c r="I82" s="949"/>
      <c r="J82" s="949"/>
      <c r="K82" s="949"/>
      <c r="L82" s="1071"/>
      <c r="M82" s="529"/>
      <c r="N82" s="529"/>
      <c r="O82" s="529"/>
      <c r="P82" s="529"/>
      <c r="Q82" s="529"/>
      <c r="R82" s="529"/>
      <c r="S82" s="529"/>
      <c r="T82" s="529"/>
      <c r="U82" s="529"/>
    </row>
    <row r="83" spans="1:21" customHeight="1" ht="15" s="9" customFormat="1">
      <c r="B83" s="9" t="s">
        <v>142</v>
      </c>
      <c r="C83" s="27"/>
      <c r="D83" s="27"/>
      <c r="E83" s="27"/>
      <c r="F83" s="951"/>
      <c r="G83" s="238" t="s">
        <v>143</v>
      </c>
      <c r="H83" s="954">
        <v>0</v>
      </c>
      <c r="I83" s="954">
        <v>0</v>
      </c>
      <c r="J83" s="541">
        <f>K83-I83</f>
        <v>600000</v>
      </c>
      <c r="K83" s="973">
        <v>600000</v>
      </c>
      <c r="L83" s="893">
        <v>500000</v>
      </c>
      <c r="M83" s="529"/>
      <c r="N83" s="529"/>
      <c r="O83" s="529"/>
      <c r="P83" s="529"/>
      <c r="Q83" s="529"/>
      <c r="R83" s="529"/>
      <c r="S83" s="529"/>
      <c r="T83" s="529"/>
      <c r="U83" s="529"/>
    </row>
    <row r="84" spans="1:21" customHeight="1" ht="15" s="968" customFormat="1">
      <c r="A84" s="956" t="s">
        <v>596</v>
      </c>
      <c r="B84" s="957"/>
      <c r="C84" s="957"/>
      <c r="D84" s="957"/>
      <c r="E84" s="957"/>
      <c r="F84" s="957"/>
      <c r="G84" s="966"/>
      <c r="H84" s="958">
        <f>SUM(H82:H83)</f>
        <v>0</v>
      </c>
      <c r="I84" s="958">
        <f>SUM(I82:I83)</f>
        <v>0</v>
      </c>
      <c r="J84" s="958">
        <f>SUM(J82:J83)</f>
        <v>600000</v>
      </c>
      <c r="K84" s="958">
        <f>SUM(K82:K83)</f>
        <v>600000</v>
      </c>
      <c r="L84" s="974">
        <f>SUM(L82:L83)</f>
        <v>500000</v>
      </c>
      <c r="M84" s="967"/>
      <c r="N84" s="967"/>
      <c r="O84" s="967"/>
      <c r="P84" s="967"/>
      <c r="Q84" s="967"/>
      <c r="R84" s="967"/>
      <c r="S84" s="967"/>
      <c r="T84" s="967"/>
      <c r="U84" s="967"/>
    </row>
    <row r="85" spans="1:21" customHeight="1" ht="15" s="9" customFormat="1">
      <c r="B85" s="1075"/>
      <c r="C85" s="1074"/>
      <c r="D85" s="27"/>
      <c r="E85" s="27"/>
      <c r="F85" s="951"/>
      <c r="G85" s="238"/>
      <c r="H85" s="238"/>
      <c r="I85" s="238"/>
      <c r="J85" s="238"/>
      <c r="K85" s="983"/>
      <c r="L85" s="77"/>
      <c r="M85" s="529"/>
      <c r="N85" s="529"/>
      <c r="O85" s="529"/>
      <c r="P85" s="529"/>
      <c r="Q85" s="529"/>
      <c r="R85" s="529"/>
      <c r="S85" s="529"/>
      <c r="T85" s="529"/>
      <c r="U85" s="529"/>
    </row>
    <row r="86" spans="1:21" customHeight="1" ht="15" s="9" customFormat="1">
      <c r="A86" s="948" t="s">
        <v>597</v>
      </c>
      <c r="B86" s="15"/>
      <c r="C86" s="15"/>
      <c r="D86" s="15"/>
      <c r="E86" s="15"/>
      <c r="F86" s="15"/>
      <c r="G86" s="213"/>
      <c r="H86" s="949"/>
      <c r="I86" s="949"/>
      <c r="J86" s="949"/>
      <c r="K86" s="949"/>
      <c r="L86" s="1071"/>
      <c r="M86" s="529"/>
      <c r="N86" s="529"/>
      <c r="O86" s="529"/>
      <c r="P86" s="529"/>
      <c r="Q86" s="529"/>
      <c r="R86" s="529"/>
      <c r="S86" s="529"/>
      <c r="T86" s="529"/>
      <c r="U86" s="529"/>
    </row>
    <row r="87" spans="1:21" customHeight="1" ht="15" s="9" customFormat="1">
      <c r="A87" s="950" t="s">
        <v>213</v>
      </c>
      <c r="B87" s="15"/>
      <c r="C87" s="15"/>
      <c r="D87" s="15"/>
      <c r="E87" s="15"/>
      <c r="F87" s="15"/>
      <c r="G87" s="213"/>
      <c r="H87" s="949"/>
      <c r="I87" s="949"/>
      <c r="J87" s="949"/>
      <c r="K87" s="949"/>
      <c r="L87" s="1071"/>
      <c r="M87" s="529"/>
      <c r="N87" s="529"/>
      <c r="O87" s="529"/>
      <c r="P87" s="529"/>
      <c r="Q87" s="529"/>
      <c r="R87" s="529"/>
      <c r="S87" s="529"/>
      <c r="T87" s="529"/>
      <c r="U87" s="529"/>
    </row>
    <row r="88" spans="1:21" customHeight="1" ht="15" s="9" customFormat="1">
      <c r="B88" s="9" t="s">
        <v>142</v>
      </c>
      <c r="C88" s="27"/>
      <c r="D88" s="27"/>
      <c r="E88" s="27"/>
      <c r="F88" s="951"/>
      <c r="G88" s="238" t="s">
        <v>143</v>
      </c>
      <c r="H88" s="954">
        <v>0</v>
      </c>
      <c r="I88" s="954">
        <v>43636.36</v>
      </c>
      <c r="J88" s="541">
        <f>K88-I88</f>
        <v>956363.64</v>
      </c>
      <c r="K88" s="973">
        <v>1000000</v>
      </c>
      <c r="L88" s="893">
        <v>1000000</v>
      </c>
      <c r="M88" s="529"/>
      <c r="N88" s="529"/>
      <c r="O88" s="529"/>
      <c r="P88" s="529"/>
      <c r="Q88" s="529"/>
      <c r="R88" s="529"/>
      <c r="S88" s="529"/>
      <c r="T88" s="529"/>
      <c r="U88" s="529"/>
    </row>
    <row r="89" spans="1:21" customHeight="1" ht="15" s="968" customFormat="1">
      <c r="A89" s="956" t="s">
        <v>598</v>
      </c>
      <c r="B89" s="957"/>
      <c r="C89" s="957"/>
      <c r="D89" s="957"/>
      <c r="E89" s="957"/>
      <c r="F89" s="957"/>
      <c r="G89" s="966"/>
      <c r="H89" s="958">
        <f>SUM(H87:H88)</f>
        <v>0</v>
      </c>
      <c r="I89" s="958">
        <f>SUM(I87:I88)</f>
        <v>43636.36</v>
      </c>
      <c r="J89" s="958">
        <f>SUM(J87:J88)</f>
        <v>956363.64</v>
      </c>
      <c r="K89" s="958">
        <f>SUM(K87:K88)</f>
        <v>1000000</v>
      </c>
      <c r="L89" s="974">
        <f>SUM(L87:L88)</f>
        <v>1000000</v>
      </c>
      <c r="M89" s="967"/>
      <c r="N89" s="967"/>
      <c r="O89" s="967"/>
      <c r="P89" s="967"/>
      <c r="Q89" s="967"/>
      <c r="R89" s="967"/>
      <c r="S89" s="967"/>
      <c r="T89" s="967"/>
      <c r="U89" s="967"/>
    </row>
    <row r="90" spans="1:21" customHeight="1" ht="15" s="9" customFormat="1">
      <c r="B90" s="1075"/>
      <c r="C90" s="1076"/>
      <c r="D90" s="27"/>
      <c r="E90" s="27"/>
      <c r="F90" s="951"/>
      <c r="G90" s="238"/>
      <c r="H90" s="238"/>
      <c r="I90" s="238"/>
      <c r="J90" s="238"/>
      <c r="K90" s="983"/>
      <c r="L90" s="77"/>
      <c r="M90" s="529"/>
      <c r="N90" s="529"/>
      <c r="O90" s="529"/>
      <c r="P90" s="529"/>
      <c r="Q90" s="529"/>
      <c r="R90" s="529"/>
      <c r="S90" s="529"/>
      <c r="T90" s="529"/>
      <c r="U90" s="529"/>
    </row>
    <row r="91" spans="1:21" customHeight="1" ht="15" s="9" customFormat="1">
      <c r="A91" s="948" t="s">
        <v>599</v>
      </c>
      <c r="B91" s="15"/>
      <c r="C91" s="15"/>
      <c r="D91" s="15"/>
      <c r="E91" s="15"/>
      <c r="F91" s="15"/>
      <c r="G91" s="213"/>
      <c r="H91" s="949"/>
      <c r="I91" s="949"/>
      <c r="J91" s="949"/>
      <c r="K91" s="949"/>
      <c r="L91" s="1071"/>
      <c r="M91" s="529"/>
      <c r="N91" s="529"/>
      <c r="O91" s="529"/>
      <c r="P91" s="529"/>
      <c r="Q91" s="529"/>
      <c r="R91" s="529"/>
      <c r="S91" s="529"/>
      <c r="T91" s="529"/>
      <c r="U91" s="529"/>
    </row>
    <row r="92" spans="1:21" customHeight="1" ht="15" s="9" customFormat="1">
      <c r="A92" s="950" t="s">
        <v>213</v>
      </c>
      <c r="B92" s="15"/>
      <c r="C92" s="15"/>
      <c r="D92" s="15"/>
      <c r="E92" s="15"/>
      <c r="F92" s="15"/>
      <c r="G92" s="213"/>
      <c r="H92" s="949"/>
      <c r="I92" s="949"/>
      <c r="J92" s="949"/>
      <c r="K92" s="949"/>
      <c r="L92" s="1071"/>
      <c r="M92" s="529"/>
      <c r="N92" s="529"/>
      <c r="O92" s="529"/>
      <c r="P92" s="529"/>
      <c r="Q92" s="529"/>
      <c r="R92" s="529"/>
      <c r="S92" s="529"/>
      <c r="T92" s="529"/>
      <c r="U92" s="529"/>
    </row>
    <row r="93" spans="1:21" customHeight="1" ht="15" s="9" customFormat="1">
      <c r="B93" s="9" t="s">
        <v>142</v>
      </c>
      <c r="C93" s="27"/>
      <c r="D93" s="27"/>
      <c r="E93" s="27"/>
      <c r="F93" s="951"/>
      <c r="G93" s="238" t="s">
        <v>143</v>
      </c>
      <c r="H93" s="954">
        <v>0</v>
      </c>
      <c r="I93" s="954">
        <v>59545.5</v>
      </c>
      <c r="J93" s="541">
        <f>K93-I93</f>
        <v>1440454.5</v>
      </c>
      <c r="K93" s="973">
        <v>1500000</v>
      </c>
      <c r="L93" s="893">
        <v>500000</v>
      </c>
      <c r="M93" s="529"/>
      <c r="N93" s="529"/>
      <c r="O93" s="529"/>
      <c r="P93" s="529"/>
      <c r="Q93" s="529"/>
      <c r="R93" s="529"/>
      <c r="S93" s="529"/>
      <c r="T93" s="529"/>
      <c r="U93" s="529"/>
    </row>
    <row r="94" spans="1:21" customHeight="1" ht="15" s="968" customFormat="1">
      <c r="A94" s="913" t="s">
        <v>600</v>
      </c>
      <c r="B94" s="969"/>
      <c r="C94" s="969"/>
      <c r="D94" s="969"/>
      <c r="E94" s="969"/>
      <c r="F94" s="969"/>
      <c r="G94" s="970"/>
      <c r="H94" s="971">
        <f>SUM(H92:H93)</f>
        <v>0</v>
      </c>
      <c r="I94" s="971">
        <f>SUM(I92:I93)</f>
        <v>59545.5</v>
      </c>
      <c r="J94" s="971">
        <f>SUM(J92:J93)</f>
        <v>1440454.5</v>
      </c>
      <c r="K94" s="971">
        <f>SUM(K92:K93)</f>
        <v>1500000</v>
      </c>
      <c r="L94" s="1077">
        <f>SUM(L92:L93)</f>
        <v>500000</v>
      </c>
      <c r="M94" s="967"/>
      <c r="N94" s="967"/>
      <c r="O94" s="967"/>
      <c r="P94" s="967"/>
      <c r="Q94" s="967"/>
      <c r="R94" s="967"/>
      <c r="S94" s="967"/>
      <c r="T94" s="967"/>
      <c r="U94" s="967"/>
    </row>
    <row r="95" spans="1:21" customHeight="1" ht="15" s="9" customFormat="1">
      <c r="A95" s="948" t="s">
        <v>601</v>
      </c>
      <c r="B95" s="15"/>
      <c r="C95" s="15"/>
      <c r="D95" s="15"/>
      <c r="E95" s="15"/>
      <c r="F95" s="15"/>
      <c r="G95" s="213"/>
      <c r="H95" s="949"/>
      <c r="I95" s="949"/>
      <c r="J95" s="949"/>
      <c r="K95" s="949"/>
      <c r="L95" s="1071"/>
      <c r="M95" s="529"/>
      <c r="N95" s="529"/>
      <c r="O95" s="529"/>
      <c r="P95" s="529"/>
      <c r="Q95" s="529"/>
      <c r="R95" s="529"/>
      <c r="S95" s="529"/>
      <c r="T95" s="529"/>
      <c r="U95" s="529"/>
    </row>
    <row r="96" spans="1:21" customHeight="1" ht="15" s="9" customFormat="1">
      <c r="A96" s="950" t="s">
        <v>213</v>
      </c>
      <c r="B96" s="15"/>
      <c r="C96" s="15"/>
      <c r="D96" s="15"/>
      <c r="E96" s="15"/>
      <c r="F96" s="15"/>
      <c r="G96" s="213"/>
      <c r="H96" s="949"/>
      <c r="I96" s="949"/>
      <c r="J96" s="949"/>
      <c r="K96" s="949"/>
      <c r="L96" s="1071"/>
      <c r="M96" s="529"/>
      <c r="N96" s="529"/>
      <c r="O96" s="529"/>
      <c r="P96" s="529"/>
      <c r="Q96" s="529"/>
      <c r="R96" s="529"/>
      <c r="S96" s="529"/>
      <c r="T96" s="529"/>
      <c r="U96" s="529"/>
    </row>
    <row r="97" spans="1:21" customHeight="1" ht="15" s="9" customFormat="1">
      <c r="B97" s="9" t="s">
        <v>142</v>
      </c>
      <c r="C97" s="27"/>
      <c r="D97" s="27"/>
      <c r="E97" s="27"/>
      <c r="F97" s="951"/>
      <c r="G97" s="238" t="s">
        <v>143</v>
      </c>
      <c r="H97" s="954">
        <v>0</v>
      </c>
      <c r="I97" s="954">
        <v>103442.87</v>
      </c>
      <c r="J97" s="541">
        <f>K97-I97</f>
        <v>896557.13</v>
      </c>
      <c r="K97" s="973">
        <v>1000000</v>
      </c>
      <c r="L97" s="893">
        <v>400000</v>
      </c>
      <c r="M97" s="529"/>
      <c r="N97" s="529"/>
      <c r="O97" s="529"/>
      <c r="P97" s="529"/>
      <c r="Q97" s="529"/>
      <c r="R97" s="529"/>
      <c r="S97" s="529"/>
      <c r="T97" s="529"/>
      <c r="U97" s="529"/>
    </row>
    <row r="98" spans="1:21" customHeight="1" ht="15" s="968" customFormat="1">
      <c r="A98" s="956" t="s">
        <v>602</v>
      </c>
      <c r="B98" s="957"/>
      <c r="C98" s="957"/>
      <c r="D98" s="957"/>
      <c r="E98" s="957"/>
      <c r="F98" s="957"/>
      <c r="G98" s="966"/>
      <c r="H98" s="958">
        <f>SUM(H96:H97)</f>
        <v>0</v>
      </c>
      <c r="I98" s="958">
        <f>SUM(I96:I97)</f>
        <v>103442.87</v>
      </c>
      <c r="J98" s="958">
        <f>SUM(J96:J97)</f>
        <v>896557.13</v>
      </c>
      <c r="K98" s="958">
        <f>SUM(K96:K97)</f>
        <v>1000000</v>
      </c>
      <c r="L98" s="974">
        <f>SUM(L96:L97)</f>
        <v>400000</v>
      </c>
      <c r="M98" s="967"/>
      <c r="N98" s="967"/>
      <c r="O98" s="967"/>
      <c r="P98" s="967"/>
      <c r="Q98" s="967"/>
      <c r="R98" s="967"/>
      <c r="S98" s="967"/>
      <c r="T98" s="967"/>
      <c r="U98" s="967"/>
    </row>
    <row r="99" spans="1:21" customHeight="1" ht="15" s="9" customFormat="1">
      <c r="B99" s="1075"/>
      <c r="C99" s="1076"/>
      <c r="D99" s="27"/>
      <c r="E99" s="27"/>
      <c r="F99" s="951"/>
      <c r="G99" s="238"/>
      <c r="H99" s="238"/>
      <c r="I99" s="238"/>
      <c r="J99" s="238"/>
      <c r="K99" s="983"/>
      <c r="L99" s="77"/>
      <c r="M99" s="529"/>
      <c r="N99" s="529"/>
      <c r="O99" s="529"/>
      <c r="P99" s="529"/>
      <c r="Q99" s="529"/>
      <c r="R99" s="529"/>
      <c r="S99" s="529"/>
      <c r="T99" s="529"/>
      <c r="U99" s="529"/>
    </row>
    <row r="100" spans="1:21" customHeight="1" ht="15" s="9" customFormat="1">
      <c r="A100" s="948" t="s">
        <v>603</v>
      </c>
      <c r="B100" s="15"/>
      <c r="C100" s="15"/>
      <c r="D100" s="15"/>
      <c r="E100" s="15"/>
      <c r="F100" s="15"/>
      <c r="G100" s="213"/>
      <c r="H100" s="949"/>
      <c r="I100" s="949"/>
      <c r="J100" s="949"/>
      <c r="K100" s="949"/>
      <c r="L100" s="1071"/>
      <c r="M100" s="529"/>
      <c r="N100" s="529"/>
      <c r="O100" s="529"/>
      <c r="P100" s="529"/>
      <c r="Q100" s="529"/>
      <c r="R100" s="529"/>
      <c r="S100" s="529"/>
      <c r="T100" s="529"/>
      <c r="U100" s="529"/>
    </row>
    <row r="101" spans="1:21" customHeight="1" ht="15" s="9" customFormat="1">
      <c r="A101" s="950" t="s">
        <v>213</v>
      </c>
      <c r="B101" s="15"/>
      <c r="C101" s="15"/>
      <c r="D101" s="15"/>
      <c r="E101" s="15"/>
      <c r="F101" s="15"/>
      <c r="G101" s="213"/>
      <c r="H101" s="949"/>
      <c r="I101" s="949"/>
      <c r="J101" s="949"/>
      <c r="K101" s="949"/>
      <c r="L101" s="1071"/>
      <c r="M101" s="529"/>
      <c r="N101" s="529"/>
      <c r="O101" s="529"/>
      <c r="P101" s="529"/>
      <c r="Q101" s="529"/>
      <c r="R101" s="529"/>
      <c r="S101" s="529"/>
      <c r="T101" s="529"/>
      <c r="U101" s="529"/>
    </row>
    <row r="102" spans="1:21" customHeight="1" ht="15" s="9" customFormat="1">
      <c r="B102" s="9" t="s">
        <v>142</v>
      </c>
      <c r="C102" s="27"/>
      <c r="D102" s="27"/>
      <c r="E102" s="27"/>
      <c r="F102" s="951"/>
      <c r="G102" s="238" t="s">
        <v>143</v>
      </c>
      <c r="H102" s="954">
        <v>0</v>
      </c>
      <c r="I102" s="954">
        <v>42838.63</v>
      </c>
      <c r="J102" s="541">
        <f>K102-I102</f>
        <v>557161.37</v>
      </c>
      <c r="K102" s="973">
        <v>600000</v>
      </c>
      <c r="L102" s="893">
        <v>300000</v>
      </c>
      <c r="M102" s="529"/>
      <c r="N102" s="529"/>
      <c r="O102" s="529"/>
      <c r="P102" s="529"/>
      <c r="Q102" s="529"/>
      <c r="R102" s="529"/>
      <c r="S102" s="529"/>
      <c r="T102" s="529"/>
      <c r="U102" s="529"/>
    </row>
    <row r="103" spans="1:21" customHeight="1" ht="15" s="968" customFormat="1">
      <c r="A103" s="956" t="s">
        <v>604</v>
      </c>
      <c r="B103" s="957"/>
      <c r="C103" s="957"/>
      <c r="D103" s="957"/>
      <c r="E103" s="957"/>
      <c r="F103" s="957"/>
      <c r="G103" s="966"/>
      <c r="H103" s="958">
        <f>SUM(H101:H102)</f>
        <v>0</v>
      </c>
      <c r="I103" s="958">
        <f>SUM(I101:I102)</f>
        <v>42838.63</v>
      </c>
      <c r="J103" s="958">
        <f>SUM(J101:J102)</f>
        <v>557161.37</v>
      </c>
      <c r="K103" s="958">
        <f>SUM(K101:K102)</f>
        <v>600000</v>
      </c>
      <c r="L103" s="974">
        <f>SUM(L101:L102)</f>
        <v>300000</v>
      </c>
      <c r="M103" s="967"/>
      <c r="N103" s="967"/>
      <c r="O103" s="967"/>
      <c r="P103" s="967"/>
      <c r="Q103" s="967"/>
      <c r="R103" s="967"/>
      <c r="S103" s="967"/>
      <c r="T103" s="967"/>
      <c r="U103" s="967"/>
    </row>
    <row r="104" spans="1:21" customHeight="1" ht="15" s="9" customFormat="1">
      <c r="B104" s="1075"/>
      <c r="C104" s="1076"/>
      <c r="D104" s="27"/>
      <c r="E104" s="27"/>
      <c r="F104" s="951"/>
      <c r="G104" s="238"/>
      <c r="H104" s="238"/>
      <c r="I104" s="238"/>
      <c r="J104" s="238"/>
      <c r="K104" s="949"/>
      <c r="L104" s="1071"/>
      <c r="M104" s="529"/>
      <c r="N104" s="529"/>
      <c r="O104" s="529"/>
      <c r="P104" s="529"/>
      <c r="Q104" s="529"/>
      <c r="R104" s="529"/>
      <c r="S104" s="529"/>
      <c r="T104" s="529"/>
      <c r="U104" s="529"/>
    </row>
    <row r="105" spans="1:21" customHeight="1" ht="15" s="550" customFormat="1">
      <c r="A105" s="18" t="s">
        <v>252</v>
      </c>
      <c r="B105" s="18"/>
      <c r="C105" s="18"/>
      <c r="D105" s="18"/>
      <c r="E105" s="18"/>
      <c r="F105" s="18"/>
      <c r="G105" s="219"/>
      <c r="H105" s="990">
        <f>H79+H84+H89+H94+H98+H103</f>
        <v>0</v>
      </c>
      <c r="I105" s="990">
        <f>I79+I84+I89+I94+I98+I103</f>
        <v>249463.36</v>
      </c>
      <c r="J105" s="990">
        <f>J79+J84+J89+J94+J98+J103</f>
        <v>5150536.64</v>
      </c>
      <c r="K105" s="990">
        <f>K79+K84+K89+K94+K98+K103</f>
        <v>5400000</v>
      </c>
      <c r="L105" s="1078">
        <f>L79+L84+L89+L94+L98+L103</f>
        <v>3400000</v>
      </c>
      <c r="M105" s="590"/>
      <c r="N105" s="590"/>
      <c r="O105" s="590"/>
      <c r="P105" s="549"/>
      <c r="Q105" s="549"/>
      <c r="R105" s="549"/>
      <c r="S105" s="549"/>
      <c r="T105" s="549"/>
      <c r="U105" s="549"/>
    </row>
    <row r="106" spans="1:21" customHeight="1" ht="15">
      <c r="A106" s="992"/>
      <c r="B106" s="992"/>
      <c r="C106" s="992"/>
      <c r="D106" s="992"/>
      <c r="E106" s="992"/>
      <c r="F106" s="992"/>
      <c r="G106" s="993"/>
      <c r="H106" s="993"/>
      <c r="I106" s="993"/>
      <c r="J106" s="993"/>
      <c r="K106" s="993"/>
      <c r="L106" s="994"/>
      <c r="M106" s="553"/>
      <c r="N106" s="553"/>
      <c r="O106" s="553"/>
      <c r="P106" s="553"/>
      <c r="Q106" s="553"/>
      <c r="R106" s="553"/>
      <c r="S106" s="553"/>
      <c r="T106" s="553"/>
      <c r="U106" s="553"/>
    </row>
    <row r="107" spans="1:21" customHeight="1" ht="18" s="273" customFormat="1">
      <c r="A107" s="6"/>
      <c r="B107" s="6"/>
      <c r="G107" s="508"/>
      <c r="H107" s="508"/>
    </row>
    <row r="108" spans="1:21" customHeight="1" ht="18" s="9" customFormat="1">
      <c r="A108" s="9" t="s">
        <v>182</v>
      </c>
      <c r="I108" s="509"/>
      <c r="J108" s="509"/>
      <c r="K108" s="509"/>
      <c r="L108" s="509"/>
    </row>
    <row r="109" spans="1:21" customHeight="1" ht="18" s="9" customFormat="1">
      <c r="G109" s="510"/>
      <c r="H109" s="510"/>
      <c r="I109" s="510"/>
      <c r="J109" s="510"/>
      <c r="K109" s="510"/>
      <c r="L109" s="510"/>
    </row>
    <row r="110" spans="1:21" customHeight="1" ht="18" s="9" customFormat="1">
      <c r="A110" s="1493" t="s">
        <v>183</v>
      </c>
      <c r="B110" s="1493"/>
      <c r="C110" s="1493"/>
      <c r="D110" s="511"/>
      <c r="E110" s="511"/>
      <c r="F110" s="512" t="s">
        <v>184</v>
      </c>
      <c r="G110" s="509"/>
      <c r="H110" s="509"/>
      <c r="I110" s="509"/>
      <c r="J110" s="510" t="s">
        <v>185</v>
      </c>
      <c r="K110" s="1494"/>
      <c r="L110" s="1494"/>
    </row>
    <row r="111" spans="1:21" customHeight="1" ht="18" s="9" customFormat="1"/>
    <row r="112" spans="1:21" customHeight="1" ht="18" s="9" customFormat="1"/>
    <row r="113" spans="1:21" customHeight="1" ht="18" s="11" customFormat="1">
      <c r="A113" s="1489" t="s">
        <v>605</v>
      </c>
      <c r="B113" s="1489"/>
      <c r="C113" s="1489"/>
      <c r="D113" s="1489"/>
      <c r="E113" s="1489"/>
      <c r="F113" s="1489" t="s">
        <v>187</v>
      </c>
      <c r="G113" s="1489"/>
      <c r="H113" s="1489"/>
      <c r="I113" s="1489"/>
      <c r="J113" s="1489" t="s">
        <v>186</v>
      </c>
      <c r="K113" s="1489"/>
      <c r="L113" s="1489"/>
    </row>
    <row r="114" spans="1:21" customHeight="1" ht="12" s="11" customFormat="1">
      <c r="A114" s="1468" t="s">
        <v>189</v>
      </c>
      <c r="B114" s="1468"/>
      <c r="C114" s="1468"/>
      <c r="D114" s="1468"/>
      <c r="E114" s="1468"/>
      <c r="F114" s="1468" t="s">
        <v>189</v>
      </c>
      <c r="G114" s="1468"/>
      <c r="H114" s="1468"/>
      <c r="I114" s="1468"/>
      <c r="J114" s="1468" t="s">
        <v>188</v>
      </c>
      <c r="K114" s="1468"/>
      <c r="L114" s="1468"/>
    </row>
    <row r="115" spans="1:21" customHeight="1" ht="12" s="9" customFormat="1">
      <c r="A115" s="1468" t="s">
        <v>606</v>
      </c>
      <c r="B115" s="1468"/>
      <c r="C115" s="1468"/>
      <c r="D115" s="1468"/>
      <c r="E115" s="1468"/>
      <c r="F115" s="1468" t="s">
        <v>190</v>
      </c>
      <c r="G115" s="1468"/>
      <c r="H115" s="1468"/>
      <c r="I115" s="1468"/>
      <c r="J115" s="1468"/>
      <c r="K115" s="1468"/>
      <c r="L115" s="1468"/>
    </row>
    <row r="116" spans="1:21" customHeight="1" ht="6.7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M116" s="553"/>
      <c r="N116" s="553"/>
      <c r="O116" s="553"/>
      <c r="P116" s="553"/>
      <c r="Q116" s="553"/>
      <c r="R116" s="553"/>
      <c r="S116" s="553"/>
      <c r="T116" s="553"/>
      <c r="U116" s="553"/>
    </row>
    <row r="117" spans="1:21" customHeight="1" ht="15" s="11" customFormat="1">
      <c r="A117" s="342"/>
      <c r="B117" s="343"/>
      <c r="C117" s="342"/>
      <c r="D117" s="177"/>
      <c r="E117" s="177"/>
      <c r="F117" s="177"/>
      <c r="G117" s="344"/>
      <c r="H117" s="22"/>
      <c r="I117" s="22"/>
      <c r="J117" s="22"/>
      <c r="M117" s="817"/>
      <c r="N117" s="817"/>
      <c r="O117" s="817"/>
      <c r="P117" s="817"/>
      <c r="Q117" s="817"/>
      <c r="R117" s="817"/>
      <c r="S117" s="817"/>
      <c r="T117" s="817"/>
      <c r="U117" s="817"/>
    </row>
    <row r="118" spans="1:21" customHeight="1" ht="15">
      <c r="A118" s="9"/>
      <c r="B118" s="9"/>
      <c r="C118" s="9"/>
      <c r="D118" s="9"/>
      <c r="E118" s="9"/>
      <c r="F118" s="9"/>
      <c r="G118" s="9"/>
      <c r="H118" s="9"/>
      <c r="I118" s="387">
        <f>I105+I70</f>
        <v>4629269.02</v>
      </c>
      <c r="J118" s="387">
        <f>J105+J70</f>
        <v>11882761.5</v>
      </c>
      <c r="K118" s="387">
        <f>K105+K70</f>
        <v>16512030.52</v>
      </c>
      <c r="L118" s="995"/>
      <c r="M118" s="553"/>
      <c r="N118" s="553"/>
      <c r="O118" s="553"/>
      <c r="P118" s="553"/>
      <c r="Q118" s="553"/>
      <c r="R118" s="553"/>
      <c r="S118" s="553"/>
      <c r="T118" s="553"/>
      <c r="U118" s="553"/>
    </row>
    <row r="119" spans="1:21" customHeight="1" ht="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387">
        <f>I118+J118</f>
        <v>16512030.52</v>
      </c>
      <c r="L119" s="995"/>
      <c r="M119" s="553"/>
      <c r="N119" s="553"/>
      <c r="O119" s="553"/>
      <c r="P119" s="553"/>
      <c r="Q119" s="553"/>
      <c r="R119" s="553"/>
      <c r="S119" s="553"/>
      <c r="T119" s="553"/>
      <c r="U119" s="553"/>
    </row>
    <row r="120" spans="1:21" customHeight="1" ht="15" s="11" customFormat="1">
      <c r="A120" s="342"/>
      <c r="B120" s="343"/>
      <c r="C120" s="342"/>
      <c r="D120" s="177"/>
      <c r="E120" s="177"/>
      <c r="F120" s="177"/>
      <c r="G120" s="344"/>
      <c r="H120" s="22"/>
      <c r="I120" s="22"/>
      <c r="J120" s="22"/>
      <c r="K120" s="386">
        <f>K118-K119</f>
        <v>0</v>
      </c>
      <c r="M120" s="817"/>
      <c r="N120" s="817"/>
      <c r="O120" s="817"/>
      <c r="P120" s="817"/>
      <c r="Q120" s="817"/>
      <c r="R120" s="817"/>
      <c r="S120" s="817"/>
      <c r="T120" s="817"/>
      <c r="U120" s="817"/>
    </row>
    <row r="121" spans="1:21" customHeight="1" ht="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11"/>
      <c r="L121" s="995"/>
      <c r="M121" s="553"/>
      <c r="N121" s="553"/>
      <c r="O121" s="553"/>
      <c r="P121" s="553"/>
      <c r="Q121" s="553"/>
      <c r="R121" s="553"/>
      <c r="S121" s="553"/>
      <c r="T121" s="553"/>
      <c r="U121" s="553"/>
    </row>
    <row r="122" spans="1:21" customHeight="1" ht="16.5">
      <c r="A122" s="996"/>
      <c r="B122" s="4"/>
      <c r="C122" s="4"/>
      <c r="D122" s="9"/>
      <c r="E122" s="1503"/>
      <c r="F122" s="1503"/>
      <c r="G122" s="1503"/>
      <c r="H122" s="1503"/>
      <c r="I122" s="1503"/>
      <c r="J122" s="1503"/>
      <c r="K122" s="1503"/>
      <c r="L122" s="1503"/>
      <c r="M122" s="553"/>
      <c r="N122" s="553"/>
      <c r="O122" s="553"/>
      <c r="P122" s="553"/>
      <c r="Q122" s="553"/>
      <c r="R122" s="553"/>
      <c r="S122" s="553"/>
      <c r="T122" s="553"/>
      <c r="U122" s="553"/>
    </row>
    <row r="123" spans="1:21" customHeight="1" ht="84.75">
      <c r="A123" s="4"/>
      <c r="B123" s="4"/>
      <c r="C123" s="11"/>
      <c r="D123" s="11"/>
      <c r="E123" s="1503"/>
      <c r="F123" s="1503"/>
      <c r="G123" s="1503"/>
      <c r="H123" s="1503"/>
      <c r="I123" s="1503"/>
      <c r="J123" s="1503"/>
      <c r="K123" s="1503"/>
      <c r="L123" s="1503"/>
      <c r="M123" s="553"/>
      <c r="N123" s="553"/>
      <c r="O123" s="553"/>
      <c r="P123" s="553"/>
      <c r="Q123" s="553"/>
      <c r="R123" s="553"/>
      <c r="S123" s="553"/>
      <c r="T123" s="553"/>
      <c r="U123" s="553"/>
    </row>
    <row r="124" spans="1:21" customHeight="1" ht="15" s="11" customFormat="1">
      <c r="A124" s="342"/>
      <c r="B124" s="343"/>
      <c r="C124" s="342"/>
      <c r="D124" s="177"/>
      <c r="E124" s="177"/>
      <c r="F124" s="177"/>
      <c r="G124" s="344"/>
      <c r="H124" s="22"/>
      <c r="I124" s="22"/>
      <c r="J124" s="22"/>
      <c r="M124" s="817"/>
      <c r="N124" s="817"/>
      <c r="O124" s="817"/>
      <c r="P124" s="817"/>
      <c r="Q124" s="817"/>
      <c r="R124" s="817"/>
      <c r="S124" s="817"/>
      <c r="T124" s="817"/>
      <c r="U124" s="817"/>
    </row>
    <row r="125" spans="1:21" customHeight="1" ht="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11"/>
      <c r="L125" s="995"/>
      <c r="M125" s="553"/>
      <c r="N125" s="553"/>
      <c r="O125" s="553"/>
      <c r="P125" s="553"/>
      <c r="Q125" s="553"/>
      <c r="R125" s="553"/>
      <c r="S125" s="553"/>
      <c r="T125" s="553"/>
      <c r="U125" s="553"/>
    </row>
    <row r="126" spans="1:21" customHeight="1" ht="16.5">
      <c r="A126" s="996"/>
      <c r="B126" s="4"/>
      <c r="C126" s="4"/>
      <c r="D126" s="9"/>
      <c r="E126" s="999"/>
      <c r="F126" s="999"/>
      <c r="G126" s="999"/>
      <c r="H126" s="999"/>
      <c r="I126" s="999"/>
      <c r="J126" s="999"/>
      <c r="K126" s="999"/>
      <c r="L126" s="999"/>
      <c r="M126" s="553"/>
      <c r="N126" s="553"/>
      <c r="O126" s="553"/>
      <c r="P126" s="553"/>
      <c r="Q126" s="553"/>
      <c r="R126" s="553"/>
      <c r="S126" s="553"/>
      <c r="T126" s="553"/>
      <c r="U126" s="553"/>
    </row>
    <row r="127" spans="1:21" customHeight="1" ht="16.5">
      <c r="A127" s="4"/>
      <c r="B127" s="4"/>
      <c r="C127" s="11"/>
      <c r="D127" s="11"/>
      <c r="E127" s="999"/>
      <c r="F127" s="999"/>
      <c r="G127" s="999"/>
      <c r="H127" s="999"/>
      <c r="I127" s="999"/>
      <c r="J127" s="999"/>
      <c r="K127" s="999"/>
      <c r="L127" s="999"/>
      <c r="M127" s="553"/>
      <c r="N127" s="553"/>
      <c r="O127" s="553"/>
      <c r="P127" s="553"/>
      <c r="Q127" s="553"/>
      <c r="R127" s="553"/>
      <c r="S127" s="553"/>
      <c r="T127" s="553"/>
      <c r="U127" s="553"/>
    </row>
    <row r="128" spans="1:21" customHeight="1" ht="18">
      <c r="A128" s="11"/>
      <c r="B128" s="11"/>
      <c r="C128" s="11"/>
      <c r="D128" s="11"/>
      <c r="E128" s="999"/>
      <c r="F128" s="999"/>
      <c r="G128" s="999"/>
      <c r="H128" s="999"/>
      <c r="I128" s="999"/>
      <c r="J128" s="999"/>
      <c r="K128" s="999"/>
      <c r="L128" s="999"/>
      <c r="M128" s="553"/>
      <c r="N128" s="553"/>
      <c r="O128" s="553"/>
      <c r="P128" s="553"/>
      <c r="Q128" s="553"/>
      <c r="R128" s="553"/>
      <c r="S128" s="553"/>
      <c r="T128" s="553"/>
      <c r="U128" s="553"/>
    </row>
    <row r="129" spans="1:21" customHeight="1" ht="18">
      <c r="A129" s="11"/>
      <c r="B129" s="11"/>
      <c r="C129" s="11"/>
      <c r="D129" s="11"/>
      <c r="E129" s="999"/>
      <c r="F129" s="999"/>
      <c r="G129" s="999"/>
      <c r="H129" s="999"/>
      <c r="I129" s="999"/>
      <c r="J129" s="999"/>
      <c r="K129" s="999"/>
      <c r="L129" s="999"/>
      <c r="M129" s="553"/>
      <c r="N129" s="553"/>
      <c r="O129" s="553"/>
      <c r="P129" s="553"/>
      <c r="Q129" s="553"/>
      <c r="R129" s="553"/>
      <c r="S129" s="553"/>
      <c r="T129" s="553"/>
      <c r="U129" s="553"/>
    </row>
    <row r="130" spans="1:21" customHeight="1" ht="18">
      <c r="A130" s="11"/>
      <c r="B130" s="11"/>
      <c r="C130" s="11"/>
      <c r="D130" s="11"/>
      <c r="E130" s="999"/>
      <c r="F130" s="999"/>
      <c r="G130" s="999"/>
      <c r="H130" s="999"/>
      <c r="I130" s="999"/>
      <c r="J130" s="999"/>
      <c r="K130" s="999"/>
      <c r="L130" s="999"/>
      <c r="M130" s="553"/>
      <c r="N130" s="553"/>
      <c r="O130" s="553"/>
      <c r="P130" s="553"/>
      <c r="Q130" s="553"/>
      <c r="R130" s="553"/>
      <c r="S130" s="553"/>
      <c r="T130" s="553"/>
      <c r="U130" s="553"/>
    </row>
    <row r="131" spans="1:21" customHeight="1" ht="13.9">
      <c r="A131" s="7"/>
      <c r="B131" s="7"/>
      <c r="C131" s="7"/>
      <c r="D131" s="7"/>
      <c r="E131" s="7"/>
      <c r="G131" s="320"/>
      <c r="H131" s="591"/>
      <c r="I131" s="591"/>
      <c r="J131" s="591"/>
      <c r="K131" s="754"/>
    </row>
    <row r="132" spans="1:21" customHeight="1" ht="14.25" s="4" customFormat="1">
      <c r="A132" s="11"/>
      <c r="B132" s="11"/>
      <c r="C132" s="11"/>
      <c r="D132" s="11"/>
      <c r="E132" s="11"/>
      <c r="G132" s="593"/>
      <c r="H132" s="594"/>
      <c r="I132" s="594"/>
      <c r="J132" s="594"/>
      <c r="K132" s="593"/>
      <c r="L132" s="593"/>
    </row>
    <row r="133" spans="1:21" customHeight="1" ht="16.15" s="4" customFormat="1">
      <c r="A133" s="11"/>
      <c r="B133" s="11"/>
      <c r="C133" s="11"/>
      <c r="D133" s="11"/>
      <c r="E133" s="11"/>
      <c r="F133" s="765"/>
      <c r="G133" s="765"/>
      <c r="H133" s="594"/>
      <c r="I133" s="594"/>
      <c r="J133" s="594"/>
      <c r="K133" s="594"/>
      <c r="L133" s="594"/>
    </row>
    <row r="134" spans="1:21" customHeight="1" ht="16.15">
      <c r="A134" s="7"/>
      <c r="B134" s="7"/>
      <c r="C134" s="7"/>
      <c r="D134" s="7"/>
      <c r="E134" s="7"/>
      <c r="F134" s="7"/>
      <c r="G134" s="7"/>
      <c r="H134" s="693"/>
      <c r="I134" s="693"/>
      <c r="J134" s="693"/>
      <c r="K134" s="5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122:L123"/>
    <mergeCell ref="A114:E114"/>
    <mergeCell ref="F114:I114"/>
    <mergeCell ref="J114:L114"/>
    <mergeCell ref="A115:E115"/>
    <mergeCell ref="F115:I115"/>
    <mergeCell ref="J115:L115"/>
    <mergeCell ref="A15:F15"/>
    <mergeCell ref="A110:C110"/>
    <mergeCell ref="K110:L110"/>
    <mergeCell ref="A113:E113"/>
    <mergeCell ref="F113:I113"/>
    <mergeCell ref="J113:L113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176"/>
  <sheetViews>
    <sheetView tabSelected="0" workbookViewId="0" view="pageBreakPreview" showGridLines="false" showRowColHeaders="1">
      <selection activeCell="A5" sqref="A5:L5"/>
    </sheetView>
  </sheetViews>
  <sheetFormatPr defaultRowHeight="14.4" outlineLevelRow="0" outlineLevelCol="0"/>
  <cols>
    <col min="1" max="1" width="3.5703125" customWidth="true" style="11"/>
    <col min="2" max="2" width="3.5703125" customWidth="true" style="11"/>
    <col min="3" max="3" width="8.140625" customWidth="true" style="11"/>
    <col min="4" max="4" width="17" customWidth="true" style="11"/>
    <col min="5" max="5" width="12.7109375" customWidth="true" style="11"/>
    <col min="6" max="6" width="12.7109375" customWidth="true" style="11"/>
    <col min="7" max="7" width="10.85546875" customWidth="true" style="11"/>
    <col min="8" max="8" width="15.7109375" customWidth="true" style="11"/>
    <col min="9" max="9" width="15.7109375" customWidth="true" style="11"/>
    <col min="10" max="10" width="15.7109375" customWidth="true" style="11"/>
    <col min="11" max="11" width="15.7109375" customWidth="true" style="11"/>
    <col min="12" max="12" width="15.7109375" customWidth="true" style="598"/>
    <col min="13" max="13" width="4" customWidth="true" style="553"/>
    <col min="14" max="14" width="15.7109375" customWidth="true" style="553"/>
    <col min="15" max="15" width="15.7109375" customWidth="true" style="553"/>
    <col min="16" max="16" width="15.7109375" customWidth="true" style="553"/>
    <col min="17" max="17" width="10.42578125" customWidth="true" style="553"/>
    <col min="18" max="18" width="10.42578125" customWidth="true" style="553"/>
    <col min="19" max="19" width="10.42578125" customWidth="true" style="553"/>
    <col min="20" max="20" width="10.42578125" customWidth="true" style="553"/>
  </cols>
  <sheetData>
    <row r="1" spans="1:20" customHeight="1" ht="9.95" s="173" customFormat="1">
      <c r="A1" s="173" t="s">
        <v>0</v>
      </c>
      <c r="J1" s="174"/>
      <c r="L1" s="175"/>
    </row>
    <row r="2" spans="1:20" customHeight="1" ht="9.95" s="173" customFormat="1">
      <c r="A2" s="173" t="s">
        <v>1</v>
      </c>
      <c r="J2" s="174"/>
      <c r="L2" s="175"/>
    </row>
    <row r="3" spans="1:20" customHeight="1" ht="9.95" s="173" customFormat="1">
      <c r="A3" s="173" t="s">
        <v>2</v>
      </c>
      <c r="J3" s="174"/>
      <c r="L3" s="175"/>
    </row>
    <row r="4" spans="1:20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20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20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20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20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607</v>
      </c>
    </row>
    <row r="9" spans="1:20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 t="s">
        <v>608</v>
      </c>
    </row>
    <row r="10" spans="1:20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20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20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20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20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20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20" customHeight="1" ht="15" s="1081" customFormat="1">
      <c r="A16" s="15" t="s">
        <v>24</v>
      </c>
      <c r="B16" s="21"/>
      <c r="C16" s="21"/>
      <c r="D16" s="21"/>
      <c r="E16" s="21"/>
      <c r="F16" s="21"/>
      <c r="G16" s="1079"/>
      <c r="H16" s="1079"/>
      <c r="I16" s="1079"/>
      <c r="J16" s="1079"/>
      <c r="K16" s="1079"/>
      <c r="L16" s="160"/>
      <c r="M16" s="453"/>
      <c r="N16" s="453"/>
      <c r="O16" s="453"/>
      <c r="P16" s="453"/>
      <c r="Q16" s="453"/>
      <c r="R16" s="1080"/>
      <c r="S16" s="1080"/>
      <c r="T16" s="1080"/>
    </row>
    <row r="17" spans="1:20" customHeight="1" ht="15" s="1016" customFormat="1">
      <c r="A17" s="734" t="s">
        <v>25</v>
      </c>
      <c r="B17" s="15"/>
      <c r="C17" s="15"/>
      <c r="D17" s="15"/>
      <c r="E17" s="15"/>
      <c r="F17" s="15"/>
      <c r="G17" s="532"/>
      <c r="H17" s="537"/>
      <c r="I17" s="537"/>
      <c r="J17" s="537"/>
      <c r="K17" s="532"/>
      <c r="L17" s="533"/>
      <c r="M17" s="807"/>
      <c r="N17" s="807"/>
      <c r="O17" s="807"/>
      <c r="P17" s="807"/>
      <c r="Q17" s="807"/>
      <c r="R17" s="807"/>
      <c r="S17" s="807"/>
      <c r="T17" s="807"/>
    </row>
    <row r="18" spans="1:20" customHeight="1" ht="15" s="9" customFormat="1">
      <c r="B18" s="9" t="s">
        <v>26</v>
      </c>
      <c r="G18" s="213" t="s">
        <v>27</v>
      </c>
      <c r="H18" s="771">
        <v>6854129.27</v>
      </c>
      <c r="I18" s="771">
        <v>3601918.82</v>
      </c>
      <c r="J18" s="771">
        <f>K18-I18</f>
        <v>7657357.18</v>
      </c>
      <c r="K18" s="771">
        <v>11259276</v>
      </c>
      <c r="L18" s="772">
        <v>12273612</v>
      </c>
      <c r="M18" s="529"/>
      <c r="N18" s="529"/>
      <c r="O18" s="529"/>
      <c r="P18" s="529"/>
      <c r="Q18" s="529"/>
      <c r="R18" s="529"/>
      <c r="S18" s="529"/>
      <c r="T18" s="529"/>
    </row>
    <row r="19" spans="1:20" customHeight="1" ht="15" s="9" customFormat="1">
      <c r="B19" s="9" t="s">
        <v>28</v>
      </c>
      <c r="G19" s="213" t="s">
        <v>29</v>
      </c>
      <c r="H19" s="537">
        <v>669181.82</v>
      </c>
      <c r="I19" s="537">
        <v>354181.82</v>
      </c>
      <c r="J19" s="537">
        <f>K19-I19</f>
        <v>629818.18</v>
      </c>
      <c r="K19" s="537">
        <v>984000</v>
      </c>
      <c r="L19" s="533">
        <v>984000</v>
      </c>
      <c r="M19" s="529"/>
      <c r="N19" s="529"/>
      <c r="O19" s="529"/>
      <c r="P19" s="529"/>
      <c r="Q19" s="529"/>
      <c r="R19" s="529"/>
      <c r="S19" s="529"/>
      <c r="T19" s="529"/>
    </row>
    <row r="20" spans="1:20" customHeight="1" ht="15" s="9" customFormat="1">
      <c r="B20" s="9" t="s">
        <v>30</v>
      </c>
      <c r="G20" s="213" t="s">
        <v>31</v>
      </c>
      <c r="H20" s="537">
        <v>135000</v>
      </c>
      <c r="I20" s="537">
        <v>67500</v>
      </c>
      <c r="J20" s="537">
        <f>K20-I20</f>
        <v>67500</v>
      </c>
      <c r="K20" s="537">
        <v>135000</v>
      </c>
      <c r="L20" s="533">
        <v>135000</v>
      </c>
      <c r="M20" s="529"/>
      <c r="N20" s="529"/>
      <c r="O20" s="529"/>
      <c r="P20" s="529"/>
      <c r="Q20" s="529"/>
      <c r="R20" s="529"/>
      <c r="S20" s="529"/>
      <c r="T20" s="529"/>
    </row>
    <row r="21" spans="1:20" customHeight="1" ht="15" s="9" customFormat="1">
      <c r="B21" s="9" t="s">
        <v>32</v>
      </c>
      <c r="F21" s="9" t="s">
        <v>609</v>
      </c>
      <c r="G21" s="213" t="s">
        <v>33</v>
      </c>
      <c r="H21" s="537">
        <v>135000</v>
      </c>
      <c r="I21" s="537">
        <v>67500</v>
      </c>
      <c r="J21" s="537">
        <f>K21-I21</f>
        <v>67500</v>
      </c>
      <c r="K21" s="537">
        <v>135000</v>
      </c>
      <c r="L21" s="533">
        <v>135000</v>
      </c>
      <c r="M21" s="529"/>
      <c r="N21" s="529"/>
      <c r="O21" s="529"/>
      <c r="P21" s="529"/>
      <c r="Q21" s="529"/>
      <c r="R21" s="529"/>
      <c r="S21" s="529"/>
      <c r="T21" s="529"/>
    </row>
    <row r="22" spans="1:20" customHeight="1" ht="15" s="9" customFormat="1">
      <c r="B22" s="9" t="s">
        <v>34</v>
      </c>
      <c r="G22" s="213" t="s">
        <v>35</v>
      </c>
      <c r="H22" s="537">
        <v>168000</v>
      </c>
      <c r="I22" s="537">
        <v>174000</v>
      </c>
      <c r="J22" s="537">
        <f>K22-I22</f>
        <v>72000</v>
      </c>
      <c r="K22" s="537">
        <v>246000</v>
      </c>
      <c r="L22" s="533">
        <v>246000</v>
      </c>
      <c r="M22" s="529"/>
      <c r="N22" s="529"/>
      <c r="O22" s="529"/>
      <c r="P22" s="529"/>
      <c r="Q22" s="529"/>
      <c r="R22" s="529"/>
      <c r="S22" s="529"/>
      <c r="T22" s="529"/>
    </row>
    <row r="23" spans="1:20" customHeight="1" ht="15" s="9" customFormat="1">
      <c r="B23" s="9" t="s">
        <v>585</v>
      </c>
      <c r="G23" s="213" t="s">
        <v>393</v>
      </c>
      <c r="H23" s="537">
        <v>120283.34</v>
      </c>
      <c r="I23" s="537">
        <v>54633.34</v>
      </c>
      <c r="J23" s="537">
        <f>K23-I23</f>
        <v>71366.66</v>
      </c>
      <c r="K23" s="537">
        <v>126000</v>
      </c>
      <c r="L23" s="533">
        <v>126000</v>
      </c>
      <c r="M23" s="529"/>
      <c r="N23" s="529"/>
      <c r="O23" s="529"/>
      <c r="P23" s="529"/>
      <c r="Q23" s="529"/>
      <c r="R23" s="529"/>
      <c r="S23" s="529"/>
      <c r="T23" s="529"/>
    </row>
    <row r="24" spans="1:20" customHeight="1" ht="15" s="9" customFormat="1">
      <c r="B24" s="9" t="s">
        <v>610</v>
      </c>
      <c r="G24" s="213" t="s">
        <v>410</v>
      </c>
      <c r="H24" s="537">
        <v>862268.69</v>
      </c>
      <c r="I24" s="537">
        <v>392138.42</v>
      </c>
      <c r="J24" s="537">
        <f>K24-I24</f>
        <v>1578820.78</v>
      </c>
      <c r="K24" s="537">
        <v>1970959.2</v>
      </c>
      <c r="L24" s="533">
        <v>2162076</v>
      </c>
      <c r="M24" s="529"/>
      <c r="N24" s="529"/>
      <c r="O24" s="529"/>
      <c r="P24" s="529"/>
      <c r="Q24" s="529"/>
      <c r="R24" s="529"/>
      <c r="S24" s="529"/>
      <c r="T24" s="529"/>
    </row>
    <row r="25" spans="1:20" customHeight="1" ht="15" s="9" customFormat="1">
      <c r="B25" s="9" t="s">
        <v>36</v>
      </c>
      <c r="G25" s="213" t="s">
        <v>280</v>
      </c>
      <c r="H25" s="537">
        <v>197172.64</v>
      </c>
      <c r="I25" s="537">
        <v>313717.83</v>
      </c>
      <c r="J25" s="537">
        <f>K25-I25</f>
        <v>186282.17</v>
      </c>
      <c r="K25" s="537">
        <v>500000</v>
      </c>
      <c r="L25" s="533">
        <v>500000</v>
      </c>
      <c r="M25" s="529"/>
      <c r="N25" s="529"/>
      <c r="O25" s="529"/>
      <c r="P25" s="529"/>
      <c r="Q25" s="529"/>
      <c r="R25" s="529"/>
      <c r="S25" s="529"/>
      <c r="T25" s="529"/>
    </row>
    <row r="26" spans="1:20" customHeight="1" ht="15" s="9" customFormat="1">
      <c r="B26" s="9" t="s">
        <v>38</v>
      </c>
      <c r="G26" s="213" t="s">
        <v>39</v>
      </c>
      <c r="H26" s="537">
        <v>585578.5</v>
      </c>
      <c r="I26" s="537">
        <v>0</v>
      </c>
      <c r="J26" s="537">
        <f>K26-I26</f>
        <v>938273</v>
      </c>
      <c r="K26" s="537">
        <v>938273</v>
      </c>
      <c r="L26" s="533">
        <v>1022801</v>
      </c>
      <c r="M26" s="529"/>
      <c r="N26" s="529"/>
      <c r="O26" s="529"/>
      <c r="P26" s="529"/>
      <c r="Q26" s="529"/>
      <c r="R26" s="529"/>
      <c r="S26" s="529"/>
      <c r="T26" s="529"/>
    </row>
    <row r="27" spans="1:20" customHeight="1" ht="15" s="9" customFormat="1">
      <c r="B27" s="9" t="s">
        <v>40</v>
      </c>
      <c r="G27" s="213" t="s">
        <v>41</v>
      </c>
      <c r="H27" s="537">
        <v>142500</v>
      </c>
      <c r="I27" s="537">
        <v>0</v>
      </c>
      <c r="J27" s="537">
        <f>K27-I27</f>
        <v>205000</v>
      </c>
      <c r="K27" s="537">
        <v>205000</v>
      </c>
      <c r="L27" s="533">
        <v>205000</v>
      </c>
      <c r="M27" s="529"/>
      <c r="N27" s="529"/>
      <c r="O27" s="529"/>
      <c r="P27" s="529"/>
      <c r="Q27" s="529"/>
      <c r="R27" s="529"/>
      <c r="S27" s="529"/>
      <c r="T27" s="529"/>
    </row>
    <row r="28" spans="1:20" customHeight="1" ht="15" s="9" customFormat="1">
      <c r="B28" s="9" t="s">
        <v>42</v>
      </c>
      <c r="C28" s="539"/>
      <c r="D28" s="539"/>
      <c r="E28" s="539"/>
      <c r="F28" s="539"/>
      <c r="G28" s="213" t="s">
        <v>43</v>
      </c>
      <c r="H28" s="537">
        <v>756464</v>
      </c>
      <c r="I28" s="537">
        <v>592791</v>
      </c>
      <c r="J28" s="537">
        <f>K28-I28</f>
        <v>550482</v>
      </c>
      <c r="K28" s="537">
        <v>1143273</v>
      </c>
      <c r="L28" s="533">
        <f>F29+F30</f>
        <v>1227801</v>
      </c>
      <c r="M28" s="529"/>
      <c r="N28" s="529"/>
      <c r="O28" s="529"/>
      <c r="P28" s="529"/>
      <c r="Q28" s="529"/>
      <c r="R28" s="529"/>
      <c r="S28" s="529"/>
      <c r="T28" s="529"/>
    </row>
    <row r="29" spans="1:20" customHeight="1" ht="15" s="9" customFormat="1">
      <c r="B29" s="29" t="s">
        <v>44</v>
      </c>
      <c r="C29" s="539"/>
      <c r="D29" s="539"/>
      <c r="E29" s="539"/>
      <c r="F29" s="509">
        <f>L26</f>
        <v>1022801</v>
      </c>
      <c r="G29" s="213"/>
      <c r="H29" s="537"/>
      <c r="I29" s="537"/>
      <c r="J29" s="537"/>
      <c r="K29" s="537"/>
      <c r="L29" s="533"/>
      <c r="M29" s="529"/>
      <c r="N29" s="529"/>
      <c r="O29" s="529"/>
      <c r="P29" s="529"/>
      <c r="Q29" s="529"/>
      <c r="R29" s="529"/>
      <c r="S29" s="529"/>
      <c r="T29" s="529"/>
    </row>
    <row r="30" spans="1:20" customHeight="1" ht="15" s="9" customFormat="1">
      <c r="B30" s="29" t="s">
        <v>45</v>
      </c>
      <c r="C30" s="539"/>
      <c r="D30" s="539"/>
      <c r="E30" s="539"/>
      <c r="F30" s="540">
        <f>L27</f>
        <v>205000</v>
      </c>
      <c r="G30" s="213"/>
      <c r="H30" s="537"/>
      <c r="I30" s="537"/>
      <c r="J30" s="537"/>
      <c r="K30" s="537"/>
      <c r="L30" s="533"/>
      <c r="M30" s="529"/>
      <c r="N30" s="529"/>
      <c r="O30" s="529"/>
      <c r="P30" s="529"/>
      <c r="Q30" s="529"/>
      <c r="R30" s="529"/>
      <c r="S30" s="529"/>
      <c r="T30" s="529"/>
    </row>
    <row r="31" spans="1:20" customHeight="1" ht="15" s="9" customFormat="1">
      <c r="B31" s="9" t="s">
        <v>46</v>
      </c>
      <c r="G31" s="213" t="s">
        <v>47</v>
      </c>
      <c r="H31" s="537">
        <v>828875.95</v>
      </c>
      <c r="I31" s="537">
        <v>432123.34</v>
      </c>
      <c r="J31" s="537">
        <f>K31-I31</f>
        <v>918989.78</v>
      </c>
      <c r="K31" s="537">
        <v>1351113.12</v>
      </c>
      <c r="L31" s="533">
        <v>1472833.44</v>
      </c>
      <c r="M31" s="529"/>
      <c r="N31" s="529"/>
      <c r="O31" s="529"/>
      <c r="P31" s="529"/>
      <c r="Q31" s="529"/>
      <c r="R31" s="529"/>
      <c r="S31" s="529"/>
      <c r="T31" s="529"/>
    </row>
    <row r="32" spans="1:20" customHeight="1" ht="15" s="9" customFormat="1">
      <c r="B32" s="9" t="s">
        <v>48</v>
      </c>
      <c r="G32" s="213" t="s">
        <v>49</v>
      </c>
      <c r="H32" s="537">
        <v>33500</v>
      </c>
      <c r="I32" s="537">
        <v>17800</v>
      </c>
      <c r="J32" s="537">
        <f>K32-I32</f>
        <v>31400</v>
      </c>
      <c r="K32" s="537">
        <v>49200</v>
      </c>
      <c r="L32" s="533">
        <v>49200</v>
      </c>
      <c r="M32" s="529"/>
      <c r="N32" s="529"/>
      <c r="O32" s="529"/>
      <c r="P32" s="529"/>
      <c r="Q32" s="529"/>
      <c r="R32" s="529"/>
      <c r="S32" s="529"/>
      <c r="T32" s="529"/>
    </row>
    <row r="33" spans="1:20" customHeight="1" ht="15" s="9" customFormat="1">
      <c r="B33" s="9" t="s">
        <v>50</v>
      </c>
      <c r="G33" s="213" t="s">
        <v>51</v>
      </c>
      <c r="H33" s="537">
        <v>93608.02</v>
      </c>
      <c r="I33" s="537">
        <v>45478.27</v>
      </c>
      <c r="J33" s="537">
        <f>K33-I33</f>
        <v>177137.09</v>
      </c>
      <c r="K33" s="537">
        <v>222615.36</v>
      </c>
      <c r="L33" s="533">
        <v>275502.6</v>
      </c>
      <c r="M33" s="529"/>
      <c r="N33" s="529"/>
      <c r="O33" s="529"/>
      <c r="P33" s="529"/>
      <c r="Q33" s="529"/>
      <c r="R33" s="529"/>
      <c r="S33" s="529"/>
      <c r="T33" s="529"/>
    </row>
    <row r="34" spans="1:20" customHeight="1" ht="15" s="9" customFormat="1">
      <c r="B34" s="9" t="s">
        <v>611</v>
      </c>
      <c r="G34" s="213" t="s">
        <v>53</v>
      </c>
      <c r="H34" s="537">
        <v>33500</v>
      </c>
      <c r="I34" s="537">
        <v>17800</v>
      </c>
      <c r="J34" s="537">
        <f>K34-I34</f>
        <v>31400</v>
      </c>
      <c r="K34" s="537">
        <v>49200</v>
      </c>
      <c r="L34" s="533">
        <v>49200</v>
      </c>
      <c r="M34" s="529"/>
      <c r="N34" s="529"/>
      <c r="O34" s="529"/>
      <c r="P34" s="529"/>
      <c r="Q34" s="529"/>
      <c r="R34" s="529"/>
      <c r="S34" s="529"/>
      <c r="T34" s="529"/>
    </row>
    <row r="35" spans="1:20" customHeight="1" ht="15" s="9" customFormat="1">
      <c r="B35" s="9" t="s">
        <v>58</v>
      </c>
      <c r="G35" s="213" t="s">
        <v>59</v>
      </c>
      <c r="H35" s="541">
        <v>700000</v>
      </c>
      <c r="I35" s="541">
        <v>0</v>
      </c>
      <c r="J35" s="541">
        <v>0</v>
      </c>
      <c r="K35" s="541">
        <v>0</v>
      </c>
      <c r="L35" s="557">
        <v>0</v>
      </c>
      <c r="M35" s="529"/>
      <c r="N35" s="529"/>
      <c r="O35" s="529"/>
      <c r="P35" s="529"/>
      <c r="Q35" s="529"/>
      <c r="R35" s="529"/>
      <c r="S35" s="529"/>
      <c r="T35" s="529"/>
    </row>
    <row r="36" spans="1:20" customHeight="1" ht="15" s="6" customFormat="1">
      <c r="A36" s="6" t="s">
        <v>256</v>
      </c>
      <c r="G36" s="243"/>
      <c r="H36" s="776">
        <f>SUM(H18:H35)</f>
        <v>12315062.23</v>
      </c>
      <c r="I36" s="776">
        <f>SUM(I18:I35)</f>
        <v>6131582.84</v>
      </c>
      <c r="J36" s="776">
        <f>SUM(J18:J35)</f>
        <v>13183326.84</v>
      </c>
      <c r="K36" s="776">
        <f>SUM(K18:K35)</f>
        <v>19314909.68</v>
      </c>
      <c r="L36" s="777">
        <f>SUM(L18:L35)</f>
        <v>20864026.04</v>
      </c>
      <c r="M36" s="775"/>
      <c r="N36" s="775"/>
      <c r="O36" s="775"/>
      <c r="P36" s="775"/>
      <c r="Q36" s="775"/>
      <c r="R36" s="775"/>
      <c r="S36" s="775"/>
      <c r="T36" s="775"/>
    </row>
    <row r="37" spans="1:20" customHeight="1" ht="15" s="6" customFormat="1">
      <c r="A37" s="543"/>
      <c r="B37" s="543"/>
      <c r="C37" s="543"/>
      <c r="D37" s="543"/>
      <c r="E37" s="543"/>
      <c r="F37" s="543"/>
      <c r="G37" s="545"/>
      <c r="H37" s="546"/>
      <c r="I37" s="546"/>
      <c r="J37" s="546"/>
      <c r="K37" s="546"/>
      <c r="L37" s="624"/>
      <c r="M37" s="775"/>
      <c r="N37" s="775"/>
      <c r="O37" s="775"/>
      <c r="P37" s="775"/>
      <c r="Q37" s="775"/>
      <c r="R37" s="775"/>
      <c r="S37" s="775"/>
      <c r="T37" s="775"/>
    </row>
    <row r="38" spans="1:20" customHeight="1" ht="15" s="9" customFormat="1">
      <c r="A38" s="734" t="s">
        <v>62</v>
      </c>
      <c r="B38" s="15"/>
      <c r="C38" s="15"/>
      <c r="D38" s="15"/>
      <c r="E38" s="15"/>
      <c r="F38" s="15"/>
      <c r="G38" s="213"/>
      <c r="H38" s="586"/>
      <c r="I38" s="586"/>
      <c r="J38" s="586"/>
      <c r="K38" s="532"/>
      <c r="L38" s="533"/>
      <c r="M38" s="529"/>
      <c r="N38" s="529"/>
      <c r="O38" s="529"/>
      <c r="P38" s="529"/>
      <c r="Q38" s="529"/>
      <c r="R38" s="529"/>
      <c r="S38" s="529"/>
      <c r="T38" s="529"/>
    </row>
    <row r="39" spans="1:20" customHeight="1" ht="15" s="9" customFormat="1">
      <c r="A39" s="9" t="s">
        <v>612</v>
      </c>
      <c r="B39" s="9" t="s">
        <v>613</v>
      </c>
      <c r="G39" s="238" t="s">
        <v>64</v>
      </c>
      <c r="H39" s="771">
        <v>30550</v>
      </c>
      <c r="I39" s="771">
        <v>142577</v>
      </c>
      <c r="J39" s="771">
        <f>K39-I39</f>
        <v>357423</v>
      </c>
      <c r="K39" s="1082">
        <v>500000</v>
      </c>
      <c r="L39" s="1083">
        <v>250000</v>
      </c>
      <c r="M39" s="529"/>
      <c r="N39" s="529"/>
      <c r="O39" s="529"/>
      <c r="P39" s="529"/>
      <c r="Q39" s="529"/>
      <c r="R39" s="529"/>
      <c r="S39" s="529"/>
      <c r="T39" s="529"/>
    </row>
    <row r="40" spans="1:20" customHeight="1" ht="15" s="9" customFormat="1">
      <c r="A40" s="9" t="s">
        <v>614</v>
      </c>
      <c r="B40" s="9" t="s">
        <v>72</v>
      </c>
      <c r="G40" s="238" t="s">
        <v>73</v>
      </c>
      <c r="H40" s="537">
        <v>234200</v>
      </c>
      <c r="I40" s="537">
        <v>171530</v>
      </c>
      <c r="J40" s="537">
        <f>K40-I40</f>
        <v>278470</v>
      </c>
      <c r="K40" s="537">
        <v>450000</v>
      </c>
      <c r="L40" s="533">
        <v>200000</v>
      </c>
      <c r="M40" s="529"/>
      <c r="N40" s="529"/>
      <c r="O40" s="529"/>
      <c r="P40" s="529"/>
      <c r="Q40" s="529"/>
      <c r="R40" s="529"/>
      <c r="S40" s="529"/>
      <c r="T40" s="529"/>
    </row>
    <row r="41" spans="1:20" customHeight="1" ht="15" s="9" customFormat="1">
      <c r="A41" s="9" t="s">
        <v>615</v>
      </c>
      <c r="B41" s="9" t="s">
        <v>234</v>
      </c>
      <c r="G41" s="238" t="s">
        <v>77</v>
      </c>
      <c r="H41" s="537">
        <v>201395.7</v>
      </c>
      <c r="I41" s="537">
        <v>50692</v>
      </c>
      <c r="J41" s="537">
        <f>K41-I41</f>
        <v>249308</v>
      </c>
      <c r="K41" s="537">
        <v>300000</v>
      </c>
      <c r="L41" s="533">
        <f>F42+F43</f>
        <v>150000</v>
      </c>
      <c r="M41" s="529"/>
      <c r="N41" s="529"/>
      <c r="O41" s="529"/>
      <c r="P41" s="529"/>
      <c r="Q41" s="529"/>
      <c r="R41" s="529"/>
      <c r="S41" s="529"/>
      <c r="T41" s="529"/>
    </row>
    <row r="42" spans="1:20" customHeight="1" ht="15" s="9" customFormat="1">
      <c r="B42" s="28" t="s">
        <v>65</v>
      </c>
      <c r="F42" s="77">
        <v>100000</v>
      </c>
      <c r="G42" s="238"/>
      <c r="H42" s="537"/>
      <c r="I42" s="537"/>
      <c r="J42" s="537"/>
      <c r="K42" s="537"/>
      <c r="L42" s="533"/>
      <c r="M42" s="529"/>
      <c r="N42" s="529"/>
      <c r="O42" s="529"/>
      <c r="P42" s="529"/>
      <c r="Q42" s="529"/>
      <c r="R42" s="529"/>
      <c r="S42" s="529"/>
      <c r="T42" s="529"/>
    </row>
    <row r="43" spans="1:20" customHeight="1" ht="15" s="9" customFormat="1">
      <c r="B43" s="28" t="s">
        <v>616</v>
      </c>
      <c r="F43" s="893">
        <v>50000</v>
      </c>
      <c r="G43" s="238"/>
      <c r="H43" s="537"/>
      <c r="I43" s="537"/>
      <c r="J43" s="537"/>
      <c r="K43" s="537"/>
      <c r="L43" s="533"/>
      <c r="M43" s="529"/>
      <c r="N43" s="529"/>
      <c r="O43" s="529"/>
      <c r="P43" s="529"/>
      <c r="Q43" s="529"/>
      <c r="R43" s="529"/>
      <c r="S43" s="529"/>
      <c r="T43" s="529"/>
    </row>
    <row r="44" spans="1:20" customHeight="1" ht="15" s="9" customFormat="1">
      <c r="A44" s="9" t="s">
        <v>617</v>
      </c>
      <c r="B44" s="9" t="s">
        <v>79</v>
      </c>
      <c r="G44" s="238" t="s">
        <v>80</v>
      </c>
      <c r="H44" s="537">
        <v>234583.65</v>
      </c>
      <c r="I44" s="537">
        <v>89753</v>
      </c>
      <c r="J44" s="537">
        <f>K44-I44</f>
        <v>310247</v>
      </c>
      <c r="K44" s="537">
        <v>400000</v>
      </c>
      <c r="L44" s="533">
        <v>600000</v>
      </c>
      <c r="M44" s="529"/>
      <c r="N44" s="529"/>
      <c r="O44" s="529"/>
      <c r="P44" s="529"/>
      <c r="Q44" s="529"/>
      <c r="R44" s="529"/>
      <c r="S44" s="529"/>
      <c r="T44" s="529"/>
    </row>
    <row r="45" spans="1:20" customHeight="1" ht="15" s="9" customFormat="1">
      <c r="B45" s="9" t="s">
        <v>93</v>
      </c>
      <c r="G45" s="238" t="s">
        <v>94</v>
      </c>
      <c r="H45" s="537">
        <v>0</v>
      </c>
      <c r="I45" s="537">
        <v>0</v>
      </c>
      <c r="J45" s="537">
        <f>K45-I45</f>
        <v>10000</v>
      </c>
      <c r="K45" s="537">
        <v>10000</v>
      </c>
      <c r="L45" s="533">
        <v>50000</v>
      </c>
      <c r="M45" s="529"/>
      <c r="N45" s="529"/>
      <c r="O45" s="529"/>
      <c r="P45" s="529"/>
      <c r="Q45" s="529"/>
      <c r="R45" s="529"/>
      <c r="S45" s="529"/>
      <c r="T45" s="529"/>
    </row>
    <row r="46" spans="1:20" customHeight="1" ht="15" s="9" customFormat="1">
      <c r="A46" s="9" t="s">
        <v>618</v>
      </c>
      <c r="B46" s="9" t="s">
        <v>619</v>
      </c>
      <c r="G46" s="238" t="s">
        <v>96</v>
      </c>
      <c r="H46" s="537">
        <v>63377.4</v>
      </c>
      <c r="I46" s="537">
        <v>6253.17</v>
      </c>
      <c r="J46" s="537">
        <f>K46-I46</f>
        <v>143746.83</v>
      </c>
      <c r="K46" s="537">
        <v>150000</v>
      </c>
      <c r="L46" s="533">
        <f>F47+F48</f>
        <v>100000</v>
      </c>
      <c r="M46" s="529"/>
      <c r="N46" s="529"/>
      <c r="O46" s="529"/>
      <c r="P46" s="529"/>
      <c r="Q46" s="529"/>
      <c r="R46" s="529"/>
      <c r="S46" s="529"/>
      <c r="T46" s="529"/>
    </row>
    <row r="47" spans="1:20" customHeight="1" ht="15" s="9" customFormat="1">
      <c r="B47" s="28" t="s">
        <v>65</v>
      </c>
      <c r="F47" s="77">
        <v>70000</v>
      </c>
      <c r="G47" s="238"/>
      <c r="H47" s="537"/>
      <c r="I47" s="537"/>
      <c r="J47" s="537"/>
      <c r="K47" s="537"/>
      <c r="L47" s="533"/>
      <c r="M47" s="529"/>
      <c r="N47" s="529"/>
      <c r="O47" s="529"/>
      <c r="P47" s="529"/>
      <c r="Q47" s="529"/>
      <c r="R47" s="529"/>
      <c r="S47" s="529"/>
      <c r="T47" s="529"/>
    </row>
    <row r="48" spans="1:20" customHeight="1" ht="15" s="9" customFormat="1">
      <c r="B48" s="28" t="s">
        <v>616</v>
      </c>
      <c r="F48" s="893">
        <v>30000</v>
      </c>
      <c r="G48" s="238"/>
      <c r="H48" s="537"/>
      <c r="I48" s="537"/>
      <c r="J48" s="537"/>
      <c r="K48" s="537"/>
      <c r="L48" s="533"/>
      <c r="M48" s="529"/>
      <c r="N48" s="529"/>
      <c r="O48" s="529"/>
      <c r="P48" s="529"/>
      <c r="Q48" s="529"/>
      <c r="R48" s="529"/>
      <c r="S48" s="529"/>
      <c r="T48" s="529"/>
    </row>
    <row r="49" spans="1:20" customHeight="1" ht="15" s="9" customFormat="1">
      <c r="B49" s="9" t="s">
        <v>620</v>
      </c>
      <c r="G49" s="238" t="s">
        <v>102</v>
      </c>
      <c r="H49" s="537">
        <v>138140</v>
      </c>
      <c r="I49" s="537">
        <v>17340</v>
      </c>
      <c r="J49" s="537">
        <f>K49-I49</f>
        <v>182660</v>
      </c>
      <c r="K49" s="537">
        <v>200000</v>
      </c>
      <c r="L49" s="533">
        <v>100000</v>
      </c>
      <c r="M49" s="529"/>
      <c r="N49" s="529"/>
      <c r="O49" s="529"/>
      <c r="P49" s="529"/>
      <c r="Q49" s="529"/>
      <c r="R49" s="529"/>
      <c r="S49" s="529"/>
      <c r="T49" s="529"/>
    </row>
    <row r="50" spans="1:20" customHeight="1" ht="15" s="9" customFormat="1">
      <c r="B50" s="9" t="s">
        <v>265</v>
      </c>
      <c r="G50" s="213" t="s">
        <v>621</v>
      </c>
      <c r="H50" s="672">
        <v>11166.24</v>
      </c>
      <c r="I50" s="672">
        <v>0</v>
      </c>
      <c r="J50" s="537">
        <f>K50-I50</f>
        <v>25000</v>
      </c>
      <c r="K50" s="537">
        <v>25000</v>
      </c>
      <c r="L50" s="533">
        <v>20000</v>
      </c>
      <c r="M50" s="529"/>
      <c r="N50" s="529"/>
      <c r="O50" s="529"/>
      <c r="P50" s="529"/>
      <c r="Q50" s="529"/>
      <c r="R50" s="529"/>
      <c r="S50" s="529"/>
      <c r="T50" s="529"/>
    </row>
    <row r="51" spans="1:20" customHeight="1" ht="15" s="9" customFormat="1">
      <c r="B51" s="9" t="s">
        <v>124</v>
      </c>
      <c r="G51" s="238" t="s">
        <v>622</v>
      </c>
      <c r="H51" s="537">
        <v>0</v>
      </c>
      <c r="I51" s="537">
        <v>1125</v>
      </c>
      <c r="J51" s="537">
        <f>K51-I51</f>
        <v>3875</v>
      </c>
      <c r="K51" s="537">
        <v>5000</v>
      </c>
      <c r="L51" s="533">
        <v>5000</v>
      </c>
      <c r="M51" s="529"/>
      <c r="N51" s="529"/>
      <c r="O51" s="529"/>
      <c r="P51" s="529"/>
      <c r="Q51" s="529"/>
      <c r="R51" s="529"/>
      <c r="S51" s="529"/>
      <c r="T51" s="529"/>
    </row>
    <row r="52" spans="1:20" customHeight="1" ht="15" s="9" customFormat="1">
      <c r="A52" s="9" t="s">
        <v>623</v>
      </c>
      <c r="B52" s="9" t="s">
        <v>140</v>
      </c>
      <c r="C52" s="1084"/>
      <c r="D52" s="1084"/>
      <c r="E52" s="1084"/>
      <c r="F52" s="664"/>
      <c r="G52" s="213" t="s">
        <v>141</v>
      </c>
      <c r="H52" s="537">
        <v>944438</v>
      </c>
      <c r="I52" s="537">
        <v>574288</v>
      </c>
      <c r="J52" s="537">
        <f>K52-I52</f>
        <v>1120712</v>
      </c>
      <c r="K52" s="537">
        <v>1695000</v>
      </c>
      <c r="L52" s="533">
        <f>SUM(F53:F57)</f>
        <v>525000</v>
      </c>
      <c r="M52" s="529"/>
      <c r="N52" s="529"/>
      <c r="O52" s="529"/>
      <c r="P52" s="529"/>
      <c r="Q52" s="529"/>
      <c r="R52" s="529"/>
      <c r="S52" s="529"/>
      <c r="T52" s="529"/>
    </row>
    <row r="53" spans="1:20" customHeight="1" ht="15" s="9" customFormat="1">
      <c r="B53" s="28" t="s">
        <v>624</v>
      </c>
      <c r="C53" s="1084"/>
      <c r="D53" s="1084"/>
      <c r="E53" s="1084"/>
      <c r="F53" s="533">
        <v>300000</v>
      </c>
      <c r="G53" s="213"/>
      <c r="H53" s="537"/>
      <c r="I53" s="537"/>
      <c r="J53" s="537"/>
      <c r="K53" s="537"/>
      <c r="L53" s="533"/>
      <c r="M53" s="529"/>
      <c r="N53" s="529"/>
      <c r="O53" s="529"/>
      <c r="P53" s="529"/>
      <c r="Q53" s="529"/>
      <c r="R53" s="529"/>
      <c r="S53" s="529"/>
      <c r="T53" s="529"/>
    </row>
    <row r="54" spans="1:20" customHeight="1" ht="15" s="9" customFormat="1">
      <c r="B54" s="28" t="s">
        <v>625</v>
      </c>
      <c r="C54" s="27"/>
      <c r="D54" s="27"/>
      <c r="E54" s="27"/>
      <c r="F54" s="533">
        <v>25000</v>
      </c>
      <c r="G54" s="213"/>
      <c r="H54" s="537"/>
      <c r="I54" s="537"/>
      <c r="J54" s="537"/>
      <c r="K54" s="537"/>
      <c r="L54" s="533"/>
      <c r="M54" s="529"/>
      <c r="N54" s="529"/>
      <c r="O54" s="529"/>
      <c r="P54" s="529"/>
      <c r="Q54" s="529"/>
      <c r="R54" s="529"/>
      <c r="S54" s="529"/>
      <c r="T54" s="529"/>
    </row>
    <row r="55" spans="1:20" customHeight="1" ht="15" s="9" customFormat="1">
      <c r="B55" s="28" t="s">
        <v>626</v>
      </c>
      <c r="C55" s="27"/>
      <c r="D55" s="27"/>
      <c r="E55" s="27"/>
      <c r="F55" s="533">
        <v>200000</v>
      </c>
      <c r="G55" s="213"/>
      <c r="H55" s="537"/>
      <c r="I55" s="537"/>
      <c r="J55" s="537"/>
      <c r="K55" s="537"/>
      <c r="L55" s="533"/>
      <c r="M55" s="529"/>
      <c r="N55" s="529"/>
      <c r="O55" s="529"/>
      <c r="P55" s="529"/>
      <c r="Q55" s="529"/>
      <c r="R55" s="529"/>
      <c r="S55" s="529"/>
      <c r="T55" s="529"/>
    </row>
    <row r="56" spans="1:20" customHeight="1" ht="15" s="9" customFormat="1">
      <c r="B56" s="28" t="s">
        <v>627</v>
      </c>
      <c r="C56" s="27"/>
      <c r="D56" s="27"/>
      <c r="E56" s="27"/>
      <c r="F56" s="533">
        <v>0</v>
      </c>
      <c r="G56" s="213"/>
      <c r="H56" s="537"/>
      <c r="I56" s="537"/>
      <c r="J56" s="537"/>
      <c r="K56" s="537"/>
      <c r="L56" s="533"/>
      <c r="M56" s="529"/>
      <c r="N56" s="529"/>
      <c r="O56" s="529"/>
      <c r="P56" s="529"/>
      <c r="Q56" s="529"/>
      <c r="R56" s="529"/>
      <c r="S56" s="529"/>
      <c r="T56" s="529"/>
    </row>
    <row r="57" spans="1:20" customHeight="1" ht="15" s="9" customFormat="1">
      <c r="B57" s="28" t="s">
        <v>628</v>
      </c>
      <c r="C57" s="27"/>
      <c r="D57" s="27"/>
      <c r="E57" s="27"/>
      <c r="F57" s="557">
        <v>0</v>
      </c>
      <c r="G57" s="213"/>
      <c r="H57" s="541">
        <v>0</v>
      </c>
      <c r="I57" s="541">
        <v>0</v>
      </c>
      <c r="J57" s="541">
        <v>0</v>
      </c>
      <c r="K57" s="541">
        <v>0</v>
      </c>
      <c r="L57" s="557">
        <v>0</v>
      </c>
      <c r="M57" s="529"/>
      <c r="N57" s="529"/>
      <c r="O57" s="529"/>
      <c r="P57" s="529"/>
      <c r="Q57" s="529"/>
      <c r="R57" s="529"/>
      <c r="S57" s="529"/>
      <c r="T57" s="529"/>
    </row>
    <row r="58" spans="1:20" customHeight="1" ht="15" s="273" customFormat="1">
      <c r="A58" s="18" t="s">
        <v>75</v>
      </c>
      <c r="B58" s="675"/>
      <c r="C58" s="675"/>
      <c r="D58" s="675"/>
      <c r="E58" s="675"/>
      <c r="F58" s="675"/>
      <c r="G58" s="219"/>
      <c r="H58" s="1085">
        <f>SUM(H39:H57)</f>
        <v>1857850.99</v>
      </c>
      <c r="I58" s="1085">
        <f>SUM(I39:I57)</f>
        <v>1053558.17</v>
      </c>
      <c r="J58" s="1085">
        <f>SUM(J39:J57)</f>
        <v>2681441.83</v>
      </c>
      <c r="K58" s="1085">
        <f>SUM(K39:K57)</f>
        <v>3735000</v>
      </c>
      <c r="L58" s="1086">
        <f>SUM(L39:L57)</f>
        <v>2000000</v>
      </c>
      <c r="M58" s="799"/>
      <c r="N58" s="799"/>
      <c r="O58" s="799"/>
      <c r="P58" s="799"/>
      <c r="Q58" s="799"/>
      <c r="R58" s="799"/>
      <c r="S58" s="799"/>
      <c r="T58" s="799"/>
    </row>
    <row r="59" spans="1:20" customHeight="1" ht="15" s="9" customFormat="1">
      <c r="A59" s="73"/>
      <c r="B59" s="1087"/>
      <c r="C59" s="961"/>
      <c r="D59" s="961"/>
      <c r="E59" s="961"/>
      <c r="F59" s="571"/>
      <c r="G59" s="814"/>
      <c r="H59" s="573"/>
      <c r="I59" s="573"/>
      <c r="J59" s="573"/>
      <c r="K59" s="573"/>
      <c r="L59" s="813"/>
      <c r="M59" s="529"/>
      <c r="N59" s="529"/>
      <c r="O59" s="529"/>
      <c r="P59" s="529"/>
      <c r="Q59" s="529"/>
      <c r="R59" s="529"/>
      <c r="S59" s="529"/>
      <c r="T59" s="529"/>
    </row>
    <row r="60" spans="1:20" customHeight="1" ht="15.95" s="9" customFormat="1">
      <c r="A60" s="734" t="s">
        <v>62</v>
      </c>
      <c r="B60" s="15"/>
      <c r="C60" s="15"/>
      <c r="D60" s="15"/>
      <c r="E60" s="15"/>
      <c r="F60" s="15"/>
      <c r="G60" s="213"/>
      <c r="H60" s="586"/>
      <c r="I60" s="586"/>
      <c r="J60" s="586"/>
      <c r="K60" s="532"/>
      <c r="L60" s="533"/>
      <c r="M60" s="529"/>
      <c r="N60" s="529"/>
      <c r="O60" s="529"/>
      <c r="P60" s="529"/>
      <c r="Q60" s="529"/>
      <c r="R60" s="529"/>
      <c r="S60" s="529"/>
      <c r="T60" s="529"/>
    </row>
    <row r="61" spans="1:20" customHeight="1" ht="15.95" s="9" customFormat="1">
      <c r="B61" s="9" t="s">
        <v>142</v>
      </c>
      <c r="C61" s="27"/>
      <c r="D61" s="27"/>
      <c r="E61" s="27"/>
      <c r="F61" s="951"/>
      <c r="G61" s="238" t="s">
        <v>143</v>
      </c>
      <c r="H61" s="771">
        <v>483290.85</v>
      </c>
      <c r="I61" s="771">
        <v>184999.06</v>
      </c>
      <c r="J61" s="771">
        <f>K61-I61</f>
        <v>305000.94</v>
      </c>
      <c r="K61" s="771">
        <v>490000</v>
      </c>
      <c r="L61" s="772">
        <f>F62+F63</f>
        <v>400000</v>
      </c>
      <c r="M61" s="529"/>
      <c r="N61" s="529"/>
      <c r="O61" s="529"/>
      <c r="P61" s="529"/>
      <c r="Q61" s="529"/>
      <c r="R61" s="529"/>
      <c r="S61" s="529"/>
      <c r="T61" s="529"/>
    </row>
    <row r="62" spans="1:20" customHeight="1" ht="15.95" s="9" customFormat="1">
      <c r="B62" s="28" t="s">
        <v>65</v>
      </c>
      <c r="F62" s="77">
        <v>300000</v>
      </c>
      <c r="G62" s="238"/>
      <c r="H62" s="537"/>
      <c r="I62" s="537"/>
      <c r="J62" s="537"/>
      <c r="K62" s="537"/>
      <c r="L62" s="533"/>
      <c r="M62" s="529"/>
      <c r="N62" s="529"/>
      <c r="O62" s="529"/>
      <c r="P62" s="529"/>
      <c r="Q62" s="529"/>
      <c r="R62" s="529"/>
      <c r="S62" s="529"/>
      <c r="T62" s="529"/>
    </row>
    <row r="63" spans="1:20" customHeight="1" ht="15.95" s="9" customFormat="1">
      <c r="B63" s="28" t="s">
        <v>616</v>
      </c>
      <c r="F63" s="893">
        <v>100000</v>
      </c>
      <c r="G63" s="238"/>
      <c r="H63" s="537"/>
      <c r="I63" s="537"/>
      <c r="J63" s="537"/>
      <c r="K63" s="537"/>
      <c r="L63" s="533"/>
      <c r="M63" s="529"/>
      <c r="N63" s="529"/>
      <c r="O63" s="529"/>
      <c r="P63" s="529"/>
      <c r="Q63" s="529"/>
      <c r="R63" s="529"/>
      <c r="S63" s="529"/>
      <c r="T63" s="529"/>
    </row>
    <row r="64" spans="1:20" customHeight="1" ht="15.95" s="9" customFormat="1">
      <c r="B64" s="5" t="s">
        <v>150</v>
      </c>
      <c r="C64" s="27"/>
      <c r="D64" s="27"/>
      <c r="E64" s="27"/>
      <c r="F64" s="951"/>
      <c r="G64" s="213" t="s">
        <v>107</v>
      </c>
      <c r="H64" s="537">
        <f>225700+160900</f>
        <v>386600</v>
      </c>
      <c r="I64" s="537">
        <f>89896.66+39800</f>
        <v>129696.66</v>
      </c>
      <c r="J64" s="537">
        <f>K64-I64</f>
        <v>270303.34</v>
      </c>
      <c r="K64" s="537">
        <f>250000+150000</f>
        <v>400000</v>
      </c>
      <c r="L64" s="533">
        <f>F65+F66</f>
        <v>400000</v>
      </c>
      <c r="M64" s="529"/>
      <c r="N64" s="529"/>
      <c r="O64" s="529"/>
      <c r="P64" s="529"/>
      <c r="Q64" s="529"/>
      <c r="R64" s="529"/>
      <c r="S64" s="529"/>
      <c r="T64" s="529"/>
    </row>
    <row r="65" spans="1:20" customHeight="1" ht="15.95" s="9" customFormat="1">
      <c r="B65" s="28" t="s">
        <v>629</v>
      </c>
      <c r="C65" s="27"/>
      <c r="D65" s="27"/>
      <c r="E65" s="27"/>
      <c r="F65" s="533">
        <v>250000</v>
      </c>
      <c r="G65" s="213"/>
      <c r="H65" s="537"/>
      <c r="I65" s="537"/>
      <c r="J65" s="537"/>
      <c r="K65" s="537"/>
      <c r="L65" s="533"/>
      <c r="M65" s="529"/>
      <c r="N65" s="529"/>
      <c r="O65" s="529"/>
      <c r="P65" s="529"/>
      <c r="Q65" s="529"/>
      <c r="R65" s="529"/>
      <c r="S65" s="529"/>
      <c r="T65" s="529"/>
    </row>
    <row r="66" spans="1:20" customHeight="1" ht="15.95" s="9" customFormat="1">
      <c r="B66" s="28" t="s">
        <v>630</v>
      </c>
      <c r="F66" s="557">
        <v>150000</v>
      </c>
      <c r="G66" s="238"/>
      <c r="H66" s="541">
        <v>0</v>
      </c>
      <c r="I66" s="541">
        <v>0</v>
      </c>
      <c r="J66" s="541">
        <v>0</v>
      </c>
      <c r="K66" s="541">
        <v>0</v>
      </c>
      <c r="L66" s="557">
        <v>0</v>
      </c>
      <c r="M66" s="529"/>
      <c r="N66" s="529"/>
      <c r="O66" s="529"/>
      <c r="P66" s="529"/>
      <c r="Q66" s="529"/>
      <c r="R66" s="529"/>
      <c r="S66" s="529"/>
      <c r="T66" s="529"/>
    </row>
    <row r="67" spans="1:20" customHeight="1" ht="15.95" s="273" customFormat="1">
      <c r="A67" s="18" t="s">
        <v>75</v>
      </c>
      <c r="B67" s="675"/>
      <c r="C67" s="675"/>
      <c r="D67" s="675"/>
      <c r="E67" s="675"/>
      <c r="F67" s="675"/>
      <c r="G67" s="219"/>
      <c r="H67" s="1085">
        <f>SUM(H61:H66)</f>
        <v>869890.85</v>
      </c>
      <c r="I67" s="1085">
        <f>SUM(I61:I66)</f>
        <v>314695.72</v>
      </c>
      <c r="J67" s="1085">
        <f>SUM(J61:J66)</f>
        <v>575304.28</v>
      </c>
      <c r="K67" s="1085">
        <f>SUM(K61:K66)</f>
        <v>890000</v>
      </c>
      <c r="L67" s="1086">
        <f>SUM(L61:L66)</f>
        <v>800000</v>
      </c>
      <c r="M67" s="799"/>
      <c r="N67" s="799"/>
      <c r="O67" s="799"/>
      <c r="P67" s="799"/>
      <c r="Q67" s="799"/>
      <c r="R67" s="799"/>
      <c r="S67" s="799"/>
      <c r="T67" s="799"/>
    </row>
    <row r="68" spans="1:20" customHeight="1" ht="15.95" s="273" customFormat="1">
      <c r="A68" s="18" t="s">
        <v>160</v>
      </c>
      <c r="B68" s="675"/>
      <c r="C68" s="675"/>
      <c r="D68" s="675"/>
      <c r="E68" s="675"/>
      <c r="F68" s="675"/>
      <c r="G68" s="219"/>
      <c r="H68" s="1085">
        <f>H67+H58</f>
        <v>2727741.84</v>
      </c>
      <c r="I68" s="1085">
        <f>I67+I58</f>
        <v>1368253.89</v>
      </c>
      <c r="J68" s="1085">
        <f>J67+J58</f>
        <v>3256746.11</v>
      </c>
      <c r="K68" s="1085">
        <f>K67+K58</f>
        <v>4625000</v>
      </c>
      <c r="L68" s="1086">
        <f>L67+L58</f>
        <v>2800000</v>
      </c>
      <c r="M68" s="799"/>
      <c r="N68" s="799"/>
      <c r="O68" s="799"/>
      <c r="P68" s="799"/>
      <c r="Q68" s="799"/>
      <c r="R68" s="799"/>
      <c r="S68" s="799"/>
      <c r="T68" s="799"/>
    </row>
    <row r="69" spans="1:20" customHeight="1" ht="15.95" s="6" customFormat="1">
      <c r="A69" s="18" t="s">
        <v>161</v>
      </c>
      <c r="B69" s="18"/>
      <c r="C69" s="18"/>
      <c r="D69" s="18"/>
      <c r="E69" s="18"/>
      <c r="F69" s="18"/>
      <c r="G69" s="715"/>
      <c r="H69" s="1088">
        <f>+H68+H36</f>
        <v>15042804.07</v>
      </c>
      <c r="I69" s="1088">
        <f>+I68+I36</f>
        <v>7499836.73</v>
      </c>
      <c r="J69" s="1088">
        <f>+J68+J36</f>
        <v>16440072.95</v>
      </c>
      <c r="K69" s="1088">
        <f>+K68+K36</f>
        <v>23939909.68</v>
      </c>
      <c r="L69" s="899">
        <f>+L68+L36</f>
        <v>23664026.04</v>
      </c>
      <c r="M69" s="775"/>
      <c r="N69" s="775"/>
      <c r="O69" s="775"/>
      <c r="P69" s="775"/>
      <c r="Q69" s="775"/>
      <c r="R69" s="775"/>
      <c r="S69" s="775"/>
      <c r="T69" s="775"/>
    </row>
    <row r="70" spans="1:20" customHeight="1" ht="15.95" s="273" customFormat="1">
      <c r="A70" s="9"/>
      <c r="B70" s="9"/>
      <c r="C70" s="9"/>
      <c r="D70" s="9"/>
      <c r="E70" s="9"/>
      <c r="F70" s="9"/>
      <c r="G70" s="238"/>
      <c r="H70" s="784"/>
      <c r="I70" s="784"/>
      <c r="J70" s="784"/>
      <c r="K70" s="784"/>
      <c r="L70" s="591"/>
      <c r="M70" s="799"/>
      <c r="N70" s="799"/>
      <c r="O70" s="799"/>
      <c r="P70" s="799"/>
      <c r="Q70" s="799"/>
      <c r="R70" s="799"/>
      <c r="S70" s="799"/>
      <c r="T70" s="799"/>
    </row>
    <row r="71" spans="1:20" customHeight="1" ht="15.95" s="6" customFormat="1">
      <c r="A71" s="58" t="s">
        <v>162</v>
      </c>
      <c r="B71" s="15"/>
      <c r="C71" s="15"/>
      <c r="D71" s="15"/>
      <c r="E71" s="15"/>
      <c r="F71" s="15"/>
      <c r="G71" s="213"/>
      <c r="H71" s="1089"/>
      <c r="I71" s="1089"/>
      <c r="J71" s="1089"/>
      <c r="K71" s="1089"/>
      <c r="L71" s="692"/>
      <c r="M71" s="775"/>
      <c r="N71" s="775"/>
      <c r="O71" s="775"/>
      <c r="P71" s="775"/>
      <c r="Q71" s="775"/>
      <c r="R71" s="775"/>
      <c r="S71" s="775"/>
      <c r="T71" s="775"/>
    </row>
    <row r="72" spans="1:20" customHeight="1" ht="15.95" s="6" customFormat="1">
      <c r="A72" s="975"/>
      <c r="B72" s="5" t="s">
        <v>163</v>
      </c>
      <c r="C72" s="9"/>
      <c r="D72" s="9"/>
      <c r="E72" s="9"/>
      <c r="F72" s="9"/>
      <c r="G72" s="213" t="s">
        <v>164</v>
      </c>
      <c r="H72" s="771">
        <v>0</v>
      </c>
      <c r="I72" s="771">
        <v>100000</v>
      </c>
      <c r="J72" s="771">
        <f>K72-I72</f>
        <v>150000</v>
      </c>
      <c r="K72" s="771">
        <v>250000</v>
      </c>
      <c r="L72" s="772">
        <v>100000</v>
      </c>
      <c r="M72" s="775"/>
      <c r="N72" s="775"/>
      <c r="O72" s="775"/>
      <c r="P72" s="775"/>
      <c r="Q72" s="775"/>
      <c r="R72" s="775"/>
      <c r="S72" s="775"/>
      <c r="T72" s="775"/>
    </row>
    <row r="73" spans="1:20" customHeight="1" ht="15.95" s="6" customFormat="1">
      <c r="A73" s="975"/>
      <c r="B73" s="5" t="s">
        <v>313</v>
      </c>
      <c r="C73" s="9"/>
      <c r="D73" s="9"/>
      <c r="E73" s="9"/>
      <c r="F73" s="9"/>
      <c r="G73" s="213" t="s">
        <v>167</v>
      </c>
      <c r="H73" s="537">
        <v>142390</v>
      </c>
      <c r="I73" s="537">
        <v>0</v>
      </c>
      <c r="J73" s="537">
        <f>K73-I73</f>
        <v>50000</v>
      </c>
      <c r="K73" s="537">
        <v>50000</v>
      </c>
      <c r="L73" s="533">
        <v>100000</v>
      </c>
      <c r="M73" s="775"/>
      <c r="N73" s="775"/>
      <c r="O73" s="775"/>
      <c r="P73" s="775"/>
      <c r="Q73" s="775"/>
      <c r="R73" s="775"/>
      <c r="S73" s="775"/>
      <c r="T73" s="775"/>
    </row>
    <row r="74" spans="1:20" customHeight="1" ht="15.95" s="6" customFormat="1">
      <c r="A74" s="975"/>
      <c r="B74" s="5" t="s">
        <v>210</v>
      </c>
      <c r="C74" s="9"/>
      <c r="D74" s="9"/>
      <c r="E74" s="9"/>
      <c r="F74" s="9"/>
      <c r="G74" s="213" t="s">
        <v>171</v>
      </c>
      <c r="H74" s="541">
        <v>0</v>
      </c>
      <c r="I74" s="541">
        <v>0</v>
      </c>
      <c r="J74" s="541">
        <v>0</v>
      </c>
      <c r="K74" s="541">
        <v>0</v>
      </c>
      <c r="L74" s="557">
        <v>20000</v>
      </c>
      <c r="M74" s="775"/>
      <c r="N74" s="775"/>
      <c r="O74" s="775"/>
      <c r="P74" s="775"/>
      <c r="Q74" s="775"/>
      <c r="R74" s="775"/>
      <c r="S74" s="775"/>
      <c r="T74" s="775"/>
    </row>
    <row r="75" spans="1:20" customHeight="1" ht="15.95" s="6" customFormat="1">
      <c r="A75" s="18" t="s">
        <v>172</v>
      </c>
      <c r="B75" s="968"/>
      <c r="C75" s="968"/>
      <c r="D75" s="968"/>
      <c r="E75" s="968"/>
      <c r="F75" s="968"/>
      <c r="G75" s="966"/>
      <c r="H75" s="1088">
        <f>SUM(H72:H74)</f>
        <v>142390</v>
      </c>
      <c r="I75" s="1088">
        <f>SUM(I72:I74)</f>
        <v>100000</v>
      </c>
      <c r="J75" s="1088">
        <f>SUM(J72:J74)</f>
        <v>200000</v>
      </c>
      <c r="K75" s="1088">
        <f>SUM(K72:K74)</f>
        <v>300000</v>
      </c>
      <c r="L75" s="899">
        <f>SUM(L72:L74)</f>
        <v>220000</v>
      </c>
      <c r="M75" s="775"/>
      <c r="N75" s="775"/>
      <c r="O75" s="775"/>
      <c r="P75" s="775"/>
      <c r="Q75" s="775"/>
      <c r="R75" s="775"/>
      <c r="S75" s="775"/>
      <c r="T75" s="775"/>
    </row>
    <row r="76" spans="1:20" customHeight="1" ht="15.95" s="6" customFormat="1">
      <c r="A76" s="18"/>
      <c r="B76" s="968"/>
      <c r="C76" s="968"/>
      <c r="D76" s="968"/>
      <c r="E76" s="968"/>
      <c r="F76" s="968"/>
      <c r="G76" s="966"/>
      <c r="H76" s="716"/>
      <c r="I76" s="716"/>
      <c r="J76" s="716"/>
      <c r="K76" s="716"/>
      <c r="L76" s="717"/>
      <c r="M76" s="775"/>
      <c r="N76" s="775"/>
      <c r="O76" s="775"/>
      <c r="P76" s="775"/>
      <c r="Q76" s="775"/>
      <c r="R76" s="775"/>
      <c r="S76" s="775"/>
      <c r="T76" s="775"/>
    </row>
    <row r="77" spans="1:20" customHeight="1" ht="15.95" s="6" customFormat="1">
      <c r="A77" s="18" t="s">
        <v>252</v>
      </c>
      <c r="B77" s="18"/>
      <c r="C77" s="18"/>
      <c r="D77" s="18"/>
      <c r="E77" s="18"/>
      <c r="F77" s="18"/>
      <c r="G77" s="219"/>
      <c r="H77" s="1090">
        <f>+H75+H69</f>
        <v>15185194.07</v>
      </c>
      <c r="I77" s="1090">
        <f>+I75+I69</f>
        <v>7599836.73</v>
      </c>
      <c r="J77" s="1090">
        <f>+J75+J69</f>
        <v>16640072.95</v>
      </c>
      <c r="K77" s="1090">
        <f>+K75+K69</f>
        <v>24239909.68</v>
      </c>
      <c r="L77" s="1091">
        <f>+L75+L69</f>
        <v>23884026.04</v>
      </c>
      <c r="M77" s="583"/>
      <c r="N77" s="583"/>
      <c r="O77" s="583"/>
      <c r="P77" s="775"/>
      <c r="Q77" s="775"/>
      <c r="R77" s="775"/>
      <c r="S77" s="775"/>
      <c r="T77" s="775"/>
    </row>
    <row r="78" spans="1:20" customHeight="1" ht="15.95" s="9" customFormat="1">
      <c r="A78" s="876"/>
      <c r="B78" s="73"/>
      <c r="C78" s="73"/>
      <c r="D78" s="73"/>
      <c r="E78" s="73"/>
      <c r="F78" s="73"/>
      <c r="G78" s="720"/>
      <c r="H78" s="720"/>
      <c r="I78" s="720"/>
      <c r="J78" s="720"/>
      <c r="K78" s="720"/>
      <c r="L78" s="721"/>
      <c r="M78" s="529"/>
      <c r="N78" s="529"/>
      <c r="O78" s="529"/>
      <c r="P78" s="529"/>
      <c r="Q78" s="529"/>
      <c r="R78" s="529"/>
      <c r="S78" s="529"/>
      <c r="T78" s="529"/>
    </row>
    <row r="79" spans="1:20" customHeight="1" ht="18">
      <c r="A79" s="7"/>
      <c r="B79" s="7"/>
      <c r="C79" s="7"/>
      <c r="D79" s="7"/>
      <c r="E79" s="7"/>
      <c r="F79" s="9"/>
      <c r="G79" s="320"/>
      <c r="H79" s="591"/>
      <c r="I79" s="591"/>
      <c r="J79" s="591"/>
      <c r="K79" s="1092"/>
      <c r="M79" s="599"/>
      <c r="N79" s="599"/>
      <c r="O79" s="599"/>
    </row>
    <row r="80" spans="1:20" customHeight="1" ht="18">
      <c r="A80" s="7"/>
      <c r="B80" s="7"/>
      <c r="C80" s="7"/>
      <c r="D80" s="7"/>
      <c r="E80" s="7"/>
      <c r="F80" s="605"/>
      <c r="G80" s="213"/>
      <c r="H80" s="784"/>
      <c r="I80" s="784"/>
      <c r="J80" s="784"/>
      <c r="K80" s="1093"/>
      <c r="M80" s="599"/>
      <c r="N80" s="599"/>
      <c r="O80" s="599"/>
    </row>
    <row r="81" spans="1:20" customHeight="1" ht="18">
      <c r="A81" s="944" t="s">
        <v>631</v>
      </c>
      <c r="B81" s="7"/>
      <c r="C81" s="7"/>
      <c r="D81" s="7"/>
      <c r="E81" s="7"/>
      <c r="F81" s="9"/>
      <c r="G81" s="213"/>
      <c r="H81" s="784"/>
      <c r="I81" s="784"/>
      <c r="J81" s="784"/>
      <c r="K81" s="1093"/>
      <c r="M81" s="599"/>
      <c r="N81" s="599"/>
      <c r="O81" s="599"/>
    </row>
    <row r="82" spans="1:20" customHeight="1" ht="15.95" s="11" customFormat="1">
      <c r="A82" s="177" t="s">
        <v>632</v>
      </c>
      <c r="B82" s="1094"/>
      <c r="C82" s="1095"/>
      <c r="D82" s="177"/>
      <c r="E82" s="177"/>
      <c r="F82" s="177"/>
      <c r="G82" s="1096"/>
      <c r="H82" s="1097"/>
      <c r="I82" s="1097"/>
      <c r="J82" s="1097"/>
      <c r="K82" s="801"/>
      <c r="M82" s="817"/>
      <c r="N82" s="817"/>
      <c r="O82" s="817"/>
      <c r="P82" s="817"/>
      <c r="Q82" s="817"/>
      <c r="R82" s="817"/>
      <c r="S82" s="817"/>
      <c r="T82" s="817"/>
    </row>
    <row r="83" spans="1:20" customHeight="1" ht="15.95" s="9" customFormat="1">
      <c r="A83" s="734" t="s">
        <v>213</v>
      </c>
      <c r="B83" s="15"/>
      <c r="C83" s="15"/>
      <c r="D83" s="15"/>
      <c r="E83" s="15"/>
      <c r="F83" s="15"/>
      <c r="G83" s="213"/>
      <c r="H83" s="635"/>
      <c r="I83" s="586"/>
      <c r="J83" s="586"/>
      <c r="K83" s="532"/>
      <c r="L83" s="533"/>
      <c r="M83" s="529"/>
      <c r="N83" s="529"/>
      <c r="O83" s="529"/>
      <c r="P83" s="529"/>
      <c r="Q83" s="529"/>
      <c r="R83" s="529"/>
      <c r="S83" s="529"/>
      <c r="T83" s="529"/>
    </row>
    <row r="84" spans="1:20" customHeight="1" ht="15.95" s="9" customFormat="1">
      <c r="B84" s="9" t="s">
        <v>142</v>
      </c>
      <c r="C84" s="27"/>
      <c r="D84" s="27"/>
      <c r="E84" s="27"/>
      <c r="F84" s="951"/>
      <c r="G84" s="238" t="s">
        <v>143</v>
      </c>
      <c r="H84" s="1098">
        <v>1442840.01</v>
      </c>
      <c r="I84" s="1098">
        <v>757965.52</v>
      </c>
      <c r="J84" s="771">
        <f>K84-I84</f>
        <v>1642034.48</v>
      </c>
      <c r="K84" s="1098">
        <v>2400000</v>
      </c>
      <c r="L84" s="1099">
        <v>1500000</v>
      </c>
      <c r="M84" s="529"/>
      <c r="N84" s="529"/>
      <c r="O84" s="529"/>
      <c r="P84" s="529"/>
      <c r="Q84" s="529"/>
      <c r="R84" s="529"/>
      <c r="S84" s="529"/>
      <c r="T84" s="529"/>
    </row>
    <row r="85" spans="1:20" customHeight="1" ht="15.95" s="273" customFormat="1">
      <c r="A85" s="18" t="s">
        <v>633</v>
      </c>
      <c r="B85" s="675"/>
      <c r="C85" s="675"/>
      <c r="D85" s="675"/>
      <c r="E85" s="675"/>
      <c r="F85" s="675"/>
      <c r="G85" s="219"/>
      <c r="H85" s="1085">
        <f>SUM(H84:H84)</f>
        <v>1442840.01</v>
      </c>
      <c r="I85" s="1085">
        <f>SUM(I84:I84)</f>
        <v>757965.52</v>
      </c>
      <c r="J85" s="1085">
        <f>SUM(J84:J84)</f>
        <v>1642034.48</v>
      </c>
      <c r="K85" s="1085">
        <f>SUM(K84:K84)</f>
        <v>2400000</v>
      </c>
      <c r="L85" s="1100">
        <f>SUM(L84:L84)</f>
        <v>1500000</v>
      </c>
      <c r="M85" s="799"/>
      <c r="N85" s="799"/>
      <c r="O85" s="799"/>
      <c r="P85" s="799"/>
      <c r="Q85" s="799"/>
      <c r="R85" s="799"/>
      <c r="S85" s="799"/>
      <c r="T85" s="799"/>
    </row>
    <row r="86" spans="1:20" customHeight="1" ht="15.95" s="273" customFormat="1">
      <c r="A86" s="18"/>
      <c r="B86" s="675"/>
      <c r="C86" s="675"/>
      <c r="D86" s="675"/>
      <c r="E86" s="675"/>
      <c r="F86" s="675"/>
      <c r="G86" s="219"/>
      <c r="H86" s="676"/>
      <c r="I86" s="676"/>
      <c r="J86" s="676"/>
      <c r="K86" s="676"/>
      <c r="L86" s="677"/>
      <c r="M86" s="799"/>
      <c r="N86" s="799"/>
      <c r="O86" s="799"/>
      <c r="P86" s="799"/>
      <c r="Q86" s="799"/>
      <c r="R86" s="799"/>
      <c r="S86" s="799"/>
      <c r="T86" s="799"/>
    </row>
    <row r="87" spans="1:20" customHeight="1" ht="15.95">
      <c r="G87" s="801"/>
      <c r="H87" s="801"/>
      <c r="I87" s="801"/>
      <c r="J87" s="801"/>
      <c r="K87" s="801"/>
    </row>
    <row r="88" spans="1:20" customHeight="1" ht="15.95" s="11" customFormat="1">
      <c r="A88" s="177" t="s">
        <v>634</v>
      </c>
      <c r="B88" s="1094"/>
      <c r="C88" s="1095"/>
      <c r="D88" s="177"/>
      <c r="E88" s="177"/>
      <c r="F88" s="177"/>
      <c r="G88" s="1096"/>
      <c r="H88" s="1097"/>
      <c r="I88" s="1097"/>
      <c r="J88" s="1097"/>
      <c r="K88" s="801"/>
      <c r="M88" s="817"/>
      <c r="N88" s="817"/>
      <c r="O88" s="817"/>
      <c r="P88" s="817"/>
      <c r="Q88" s="817"/>
      <c r="R88" s="817"/>
      <c r="S88" s="817"/>
      <c r="T88" s="817"/>
    </row>
    <row r="89" spans="1:20" customHeight="1" ht="15.95" s="9" customFormat="1">
      <c r="A89" s="734" t="s">
        <v>213</v>
      </c>
      <c r="B89" s="15"/>
      <c r="C89" s="15"/>
      <c r="D89" s="15"/>
      <c r="E89" s="15"/>
      <c r="F89" s="15"/>
      <c r="G89" s="213"/>
      <c r="H89" s="586"/>
      <c r="I89" s="586"/>
      <c r="J89" s="586"/>
      <c r="K89" s="532"/>
      <c r="L89" s="533"/>
      <c r="M89" s="529"/>
      <c r="N89" s="529"/>
      <c r="O89" s="529"/>
      <c r="P89" s="529"/>
      <c r="Q89" s="529"/>
      <c r="R89" s="529"/>
      <c r="S89" s="529"/>
      <c r="T89" s="529"/>
    </row>
    <row r="90" spans="1:20" customHeight="1" ht="15.95" s="9" customFormat="1">
      <c r="B90" s="9" t="s">
        <v>142</v>
      </c>
      <c r="C90" s="27"/>
      <c r="D90" s="27"/>
      <c r="E90" s="27"/>
      <c r="F90" s="951"/>
      <c r="G90" s="238" t="s">
        <v>143</v>
      </c>
      <c r="H90" s="1098">
        <v>162400</v>
      </c>
      <c r="I90" s="1098">
        <v>25800</v>
      </c>
      <c r="J90" s="771">
        <f>K90-I90</f>
        <v>224200</v>
      </c>
      <c r="K90" s="1098">
        <v>250000</v>
      </c>
      <c r="L90" s="1099">
        <v>150000</v>
      </c>
      <c r="M90" s="529"/>
      <c r="N90" s="529"/>
      <c r="O90" s="529"/>
      <c r="P90" s="529"/>
      <c r="Q90" s="529"/>
      <c r="R90" s="529"/>
      <c r="S90" s="529"/>
      <c r="T90" s="529"/>
    </row>
    <row r="91" spans="1:20" customHeight="1" ht="15.95" s="273" customFormat="1">
      <c r="A91" s="18" t="s">
        <v>635</v>
      </c>
      <c r="B91" s="675"/>
      <c r="C91" s="675"/>
      <c r="D91" s="675"/>
      <c r="E91" s="675"/>
      <c r="F91" s="675"/>
      <c r="G91" s="219"/>
      <c r="H91" s="1085">
        <f>SUM(H90:H90)</f>
        <v>162400</v>
      </c>
      <c r="I91" s="1085">
        <f>SUM(I90:I90)</f>
        <v>25800</v>
      </c>
      <c r="J91" s="1085">
        <f>SUM(J90:J90)</f>
        <v>224200</v>
      </c>
      <c r="K91" s="1085">
        <f>SUM(K90:K90)</f>
        <v>250000</v>
      </c>
      <c r="L91" s="1100">
        <f>SUM(L90:L90)</f>
        <v>150000</v>
      </c>
      <c r="M91" s="799"/>
      <c r="N91" s="799"/>
      <c r="O91" s="799"/>
      <c r="P91" s="799"/>
      <c r="Q91" s="799"/>
      <c r="R91" s="799"/>
      <c r="S91" s="799"/>
      <c r="T91" s="799"/>
    </row>
    <row r="92" spans="1:20" customHeight="1" ht="15.95" s="273" customFormat="1">
      <c r="A92" s="18"/>
      <c r="B92" s="675"/>
      <c r="C92" s="675"/>
      <c r="D92" s="675"/>
      <c r="E92" s="675"/>
      <c r="F92" s="675"/>
      <c r="G92" s="219"/>
      <c r="H92" s="676"/>
      <c r="I92" s="676"/>
      <c r="J92" s="676"/>
      <c r="K92" s="676"/>
      <c r="L92" s="677"/>
      <c r="M92" s="799"/>
      <c r="N92" s="799"/>
      <c r="O92" s="799"/>
      <c r="P92" s="799"/>
      <c r="Q92" s="799"/>
      <c r="R92" s="799"/>
      <c r="S92" s="799"/>
      <c r="T92" s="799"/>
    </row>
    <row r="93" spans="1:20" customHeight="1" ht="15.95" s="10" customFormat="1">
      <c r="A93" s="1500"/>
      <c r="B93" s="1501"/>
      <c r="C93" s="1501"/>
      <c r="D93" s="1502"/>
      <c r="E93" s="391"/>
      <c r="F93" s="660"/>
      <c r="G93" s="987"/>
      <c r="H93" s="987"/>
      <c r="I93" s="987"/>
      <c r="J93" s="987"/>
      <c r="K93" s="1101"/>
      <c r="L93" s="600"/>
      <c r="M93" s="988"/>
      <c r="N93" s="988"/>
      <c r="O93" s="988"/>
      <c r="P93" s="989"/>
      <c r="Q93" s="989"/>
      <c r="R93" s="989"/>
      <c r="S93" s="989"/>
      <c r="T93" s="989"/>
    </row>
    <row r="94" spans="1:20" customHeight="1" ht="15.95" s="11" customFormat="1">
      <c r="A94" s="177" t="s">
        <v>636</v>
      </c>
      <c r="B94" s="1094"/>
      <c r="C94" s="1095"/>
      <c r="D94" s="177"/>
      <c r="E94" s="177"/>
      <c r="F94" s="177"/>
      <c r="G94" s="1096"/>
      <c r="H94" s="1097"/>
      <c r="I94" s="1097"/>
      <c r="J94" s="1102"/>
      <c r="K94" s="801"/>
      <c r="M94" s="817"/>
      <c r="N94" s="817"/>
      <c r="O94" s="817"/>
      <c r="P94" s="817"/>
      <c r="Q94" s="817"/>
      <c r="R94" s="817"/>
      <c r="S94" s="817"/>
      <c r="T94" s="817"/>
    </row>
    <row r="95" spans="1:20" customHeight="1" ht="15.95" s="9" customFormat="1">
      <c r="A95" s="734" t="s">
        <v>213</v>
      </c>
      <c r="B95" s="15"/>
      <c r="C95" s="15"/>
      <c r="D95" s="15"/>
      <c r="E95" s="15"/>
      <c r="F95" s="15"/>
      <c r="G95" s="213"/>
      <c r="H95" s="586"/>
      <c r="I95" s="586"/>
      <c r="J95" s="635"/>
      <c r="K95" s="532"/>
      <c r="L95" s="533"/>
      <c r="M95" s="529"/>
      <c r="N95" s="529"/>
      <c r="O95" s="529"/>
      <c r="P95" s="529"/>
      <c r="Q95" s="529"/>
      <c r="R95" s="529"/>
      <c r="S95" s="529"/>
      <c r="T95" s="529"/>
    </row>
    <row r="96" spans="1:20" customHeight="1" ht="15.95" s="9" customFormat="1">
      <c r="B96" s="9" t="s">
        <v>142</v>
      </c>
      <c r="C96" s="27"/>
      <c r="D96" s="27"/>
      <c r="E96" s="27"/>
      <c r="F96" s="951"/>
      <c r="G96" s="238" t="s">
        <v>143</v>
      </c>
      <c r="H96" s="1098">
        <v>506917.5</v>
      </c>
      <c r="I96" s="1098">
        <v>120200</v>
      </c>
      <c r="J96" s="771">
        <f>K96-I96</f>
        <v>479800</v>
      </c>
      <c r="K96" s="1098">
        <v>600000</v>
      </c>
      <c r="L96" s="1099">
        <v>500000</v>
      </c>
      <c r="M96" s="529"/>
      <c r="N96" s="529"/>
      <c r="O96" s="529"/>
      <c r="P96" s="529"/>
      <c r="Q96" s="529"/>
      <c r="R96" s="529"/>
      <c r="S96" s="529"/>
      <c r="T96" s="529"/>
    </row>
    <row r="97" spans="1:20" customHeight="1" ht="15.95" s="273" customFormat="1">
      <c r="A97" s="18" t="s">
        <v>637</v>
      </c>
      <c r="B97" s="675"/>
      <c r="C97" s="675"/>
      <c r="D97" s="675"/>
      <c r="E97" s="675"/>
      <c r="F97" s="675"/>
      <c r="G97" s="219"/>
      <c r="H97" s="1085">
        <f>SUM(H96:H96)</f>
        <v>506917.5</v>
      </c>
      <c r="I97" s="1085">
        <f>SUM(I96:I96)</f>
        <v>120200</v>
      </c>
      <c r="J97" s="1085">
        <f>SUM(J96:J96)</f>
        <v>479800</v>
      </c>
      <c r="K97" s="1085">
        <f>SUM(K96:K96)</f>
        <v>600000</v>
      </c>
      <c r="L97" s="1086">
        <f>SUM(L96:L96)</f>
        <v>500000</v>
      </c>
      <c r="M97" s="799"/>
      <c r="N97" s="799"/>
      <c r="O97" s="799"/>
      <c r="P97" s="799"/>
      <c r="Q97" s="799"/>
      <c r="R97" s="799"/>
      <c r="S97" s="799"/>
      <c r="T97" s="799"/>
    </row>
    <row r="98" spans="1:20" customHeight="1" ht="15.95" s="10" customFormat="1">
      <c r="A98" s="1500"/>
      <c r="B98" s="1501"/>
      <c r="C98" s="1501"/>
      <c r="D98" s="1502"/>
      <c r="E98" s="391"/>
      <c r="F98" s="660"/>
      <c r="G98" s="987"/>
      <c r="H98" s="987"/>
      <c r="I98" s="987"/>
      <c r="J98" s="987"/>
      <c r="K98" s="1101"/>
      <c r="L98" s="600"/>
      <c r="M98" s="988"/>
      <c r="N98" s="988"/>
      <c r="O98" s="988"/>
      <c r="P98" s="989"/>
      <c r="Q98" s="989"/>
      <c r="R98" s="989"/>
      <c r="S98" s="989"/>
      <c r="T98" s="989"/>
    </row>
    <row r="99" spans="1:20" customHeight="1" ht="15.95">
      <c r="A99" s="992"/>
      <c r="B99" s="992"/>
      <c r="C99" s="992"/>
      <c r="D99" s="992"/>
      <c r="E99" s="992"/>
      <c r="F99" s="992"/>
      <c r="G99" s="993"/>
      <c r="H99" s="993"/>
      <c r="I99" s="993"/>
      <c r="J99" s="993"/>
      <c r="K99" s="993"/>
      <c r="L99" s="994"/>
    </row>
    <row r="100" spans="1:20" customHeight="1" ht="23.1">
      <c r="G100" s="801"/>
      <c r="H100" s="801"/>
      <c r="I100" s="801"/>
      <c r="J100" s="1103"/>
      <c r="K100" s="801"/>
    </row>
    <row r="101" spans="1:20" customHeight="1" ht="23.1" s="11" customFormat="1">
      <c r="A101" s="177" t="s">
        <v>638</v>
      </c>
      <c r="B101" s="1094"/>
      <c r="C101" s="1095"/>
      <c r="D101" s="177"/>
      <c r="E101" s="177"/>
      <c r="F101" s="177"/>
      <c r="G101" s="1096"/>
      <c r="H101" s="1097"/>
      <c r="I101" s="1097"/>
      <c r="J101" s="1102"/>
      <c r="K101" s="801"/>
      <c r="M101" s="817"/>
      <c r="N101" s="817"/>
      <c r="O101" s="817"/>
      <c r="P101" s="817"/>
      <c r="Q101" s="817"/>
      <c r="R101" s="817"/>
      <c r="S101" s="817"/>
      <c r="T101" s="817"/>
    </row>
    <row r="102" spans="1:20" customHeight="1" ht="23.1" s="9" customFormat="1">
      <c r="A102" s="734" t="s">
        <v>213</v>
      </c>
      <c r="B102" s="15"/>
      <c r="C102" s="15"/>
      <c r="D102" s="15"/>
      <c r="E102" s="15"/>
      <c r="F102" s="15"/>
      <c r="G102" s="213"/>
      <c r="H102" s="586"/>
      <c r="I102" s="586"/>
      <c r="J102" s="586"/>
      <c r="K102" s="532"/>
      <c r="L102" s="533"/>
      <c r="M102" s="529"/>
      <c r="N102" s="529"/>
      <c r="O102" s="529"/>
      <c r="P102" s="529"/>
      <c r="Q102" s="529"/>
      <c r="R102" s="529"/>
      <c r="S102" s="529"/>
      <c r="T102" s="529"/>
    </row>
    <row r="103" spans="1:20" customHeight="1" ht="23.1" s="9" customFormat="1">
      <c r="B103" s="9" t="s">
        <v>142</v>
      </c>
      <c r="C103" s="27"/>
      <c r="D103" s="27"/>
      <c r="E103" s="27"/>
      <c r="F103" s="951"/>
      <c r="G103" s="238" t="s">
        <v>143</v>
      </c>
      <c r="H103" s="1098">
        <v>337014.54</v>
      </c>
      <c r="I103" s="1098">
        <v>9000</v>
      </c>
      <c r="J103" s="771">
        <f>K103-I103</f>
        <v>891000</v>
      </c>
      <c r="K103" s="1098">
        <v>900000</v>
      </c>
      <c r="L103" s="1099">
        <v>300000</v>
      </c>
      <c r="M103" s="529"/>
      <c r="N103" s="529"/>
      <c r="O103" s="529"/>
      <c r="P103" s="529"/>
      <c r="Q103" s="529"/>
      <c r="R103" s="529"/>
      <c r="S103" s="529"/>
      <c r="T103" s="529"/>
    </row>
    <row r="104" spans="1:20" customHeight="1" ht="23.1" s="273" customFormat="1">
      <c r="A104" s="18" t="s">
        <v>639</v>
      </c>
      <c r="B104" s="675"/>
      <c r="C104" s="675"/>
      <c r="D104" s="675"/>
      <c r="E104" s="675"/>
      <c r="F104" s="675"/>
      <c r="G104" s="219"/>
      <c r="H104" s="1085">
        <f>SUM(H103)</f>
        <v>337014.54</v>
      </c>
      <c r="I104" s="1085">
        <f>SUM(I103)</f>
        <v>9000</v>
      </c>
      <c r="J104" s="1085">
        <f>SUM(J103)</f>
        <v>891000</v>
      </c>
      <c r="K104" s="1085">
        <f>SUM(K103)</f>
        <v>900000</v>
      </c>
      <c r="L104" s="1086">
        <f>SUM(L103)</f>
        <v>300000</v>
      </c>
      <c r="M104" s="799"/>
      <c r="N104" s="799"/>
      <c r="O104" s="799"/>
      <c r="P104" s="799"/>
      <c r="Q104" s="799"/>
      <c r="R104" s="799"/>
      <c r="S104" s="799"/>
      <c r="T104" s="799"/>
    </row>
    <row r="105" spans="1:20" customHeight="1" ht="23.1" s="9" customFormat="1">
      <c r="B105" s="28"/>
      <c r="G105" s="238"/>
      <c r="H105" s="541"/>
      <c r="I105" s="541"/>
      <c r="J105" s="541"/>
      <c r="K105" s="541"/>
      <c r="L105" s="557"/>
      <c r="M105" s="529"/>
      <c r="N105" s="529"/>
      <c r="O105" s="529"/>
      <c r="P105" s="529"/>
      <c r="Q105" s="529"/>
      <c r="R105" s="529"/>
      <c r="S105" s="529"/>
      <c r="T105" s="529"/>
    </row>
    <row r="106" spans="1:20" customHeight="1" ht="23.1" s="10" customFormat="1">
      <c r="A106" s="1500"/>
      <c r="B106" s="1501"/>
      <c r="C106" s="1501"/>
      <c r="D106" s="1502"/>
      <c r="E106" s="391"/>
      <c r="F106" s="660"/>
      <c r="G106" s="987"/>
      <c r="H106" s="987"/>
      <c r="I106" s="987"/>
      <c r="J106" s="987"/>
      <c r="K106" s="1101"/>
      <c r="L106" s="600"/>
      <c r="M106" s="988"/>
      <c r="N106" s="988"/>
      <c r="O106" s="988"/>
      <c r="P106" s="989"/>
      <c r="Q106" s="989"/>
      <c r="R106" s="989"/>
      <c r="S106" s="989"/>
      <c r="T106" s="989"/>
    </row>
    <row r="107" spans="1:20" customHeight="1" ht="23.1" s="11" customFormat="1">
      <c r="A107" s="177" t="s">
        <v>640</v>
      </c>
      <c r="B107" s="1094"/>
      <c r="C107" s="1095"/>
      <c r="D107" s="177"/>
      <c r="E107" s="177"/>
      <c r="F107" s="177"/>
      <c r="G107" s="1096"/>
      <c r="H107" s="1097"/>
      <c r="I107" s="1097"/>
      <c r="J107" s="1102"/>
      <c r="K107" s="801"/>
      <c r="M107" s="817"/>
      <c r="N107" s="817"/>
      <c r="O107" s="817"/>
      <c r="P107" s="817"/>
      <c r="Q107" s="817"/>
      <c r="R107" s="817"/>
      <c r="S107" s="817"/>
      <c r="T107" s="817"/>
    </row>
    <row r="108" spans="1:20" customHeight="1" ht="23.1" s="9" customFormat="1">
      <c r="A108" s="734" t="s">
        <v>213</v>
      </c>
      <c r="B108" s="15"/>
      <c r="C108" s="15"/>
      <c r="D108" s="15"/>
      <c r="E108" s="15"/>
      <c r="F108" s="15"/>
      <c r="G108" s="213"/>
      <c r="H108" s="586"/>
      <c r="I108" s="586"/>
      <c r="J108" s="586"/>
      <c r="K108" s="532"/>
      <c r="L108" s="533"/>
      <c r="M108" s="529"/>
      <c r="N108" s="529"/>
      <c r="O108" s="529"/>
      <c r="P108" s="529"/>
      <c r="Q108" s="529"/>
      <c r="R108" s="529"/>
      <c r="S108" s="529"/>
      <c r="T108" s="529"/>
    </row>
    <row r="109" spans="1:20" customHeight="1" ht="23.1" s="9" customFormat="1">
      <c r="B109" s="9" t="s">
        <v>142</v>
      </c>
      <c r="C109" s="27"/>
      <c r="D109" s="27"/>
      <c r="E109" s="27"/>
      <c r="F109" s="951"/>
      <c r="G109" s="238" t="s">
        <v>143</v>
      </c>
      <c r="H109" s="1098">
        <v>0</v>
      </c>
      <c r="I109" s="1098">
        <v>0</v>
      </c>
      <c r="J109" s="1098">
        <f>K109-I109</f>
        <v>600000</v>
      </c>
      <c r="K109" s="1098">
        <v>600000</v>
      </c>
      <c r="L109" s="1099">
        <v>150000</v>
      </c>
      <c r="M109" s="529"/>
      <c r="N109" s="529"/>
      <c r="O109" s="529"/>
      <c r="P109" s="529"/>
      <c r="Q109" s="529"/>
      <c r="R109" s="529"/>
      <c r="S109" s="529"/>
      <c r="T109" s="529"/>
    </row>
    <row r="110" spans="1:20" customHeight="1" ht="23.1" s="273" customFormat="1">
      <c r="A110" s="18" t="s">
        <v>641</v>
      </c>
      <c r="B110" s="675"/>
      <c r="C110" s="675"/>
      <c r="D110" s="675"/>
      <c r="E110" s="675"/>
      <c r="F110" s="675"/>
      <c r="G110" s="219"/>
      <c r="H110" s="1085">
        <f>SUM(H109)</f>
        <v>0</v>
      </c>
      <c r="I110" s="1085">
        <f>SUM(I109)</f>
        <v>0</v>
      </c>
      <c r="J110" s="1085">
        <f>SUM(J109)</f>
        <v>600000</v>
      </c>
      <c r="K110" s="1085">
        <f>SUM(K109)</f>
        <v>600000</v>
      </c>
      <c r="L110" s="1086">
        <f>SUM(L109)</f>
        <v>150000</v>
      </c>
      <c r="M110" s="799"/>
      <c r="N110" s="799"/>
      <c r="O110" s="799"/>
      <c r="P110" s="799"/>
      <c r="Q110" s="799"/>
      <c r="R110" s="799"/>
      <c r="S110" s="799"/>
      <c r="T110" s="799"/>
    </row>
    <row r="111" spans="1:20" customHeight="1" ht="23.1" s="9" customFormat="1">
      <c r="B111" s="28"/>
      <c r="G111" s="238"/>
      <c r="H111" s="541"/>
      <c r="I111" s="541"/>
      <c r="J111" s="541"/>
      <c r="K111" s="541"/>
      <c r="L111" s="557"/>
      <c r="M111" s="529"/>
      <c r="N111" s="529"/>
      <c r="O111" s="529"/>
      <c r="P111" s="529"/>
      <c r="Q111" s="529"/>
      <c r="R111" s="529"/>
      <c r="S111" s="529"/>
      <c r="T111" s="529"/>
    </row>
    <row r="112" spans="1:20" customHeight="1" ht="23.1" s="10" customFormat="1">
      <c r="A112" s="1504"/>
      <c r="B112" s="1505"/>
      <c r="C112" s="1505"/>
      <c r="D112" s="1506"/>
      <c r="E112" s="1104"/>
      <c r="F112" s="1105"/>
      <c r="G112" s="1106"/>
      <c r="H112" s="1106"/>
      <c r="I112" s="1106"/>
      <c r="J112" s="1106"/>
      <c r="K112" s="1107"/>
      <c r="L112" s="1108"/>
      <c r="M112" s="988"/>
      <c r="N112" s="988"/>
      <c r="O112" s="988"/>
      <c r="P112" s="989"/>
      <c r="Q112" s="989"/>
      <c r="R112" s="989"/>
      <c r="S112" s="989"/>
      <c r="T112" s="989"/>
    </row>
    <row r="113" spans="1:20" customHeight="1" ht="18" s="1114" customFormat="1">
      <c r="A113" s="1109"/>
      <c r="B113" s="1110"/>
      <c r="C113" s="1111"/>
      <c r="D113" s="1112"/>
      <c r="E113" s="1111"/>
      <c r="F113" s="1113"/>
      <c r="M113" s="1115"/>
      <c r="N113" s="1115"/>
      <c r="O113" s="1115"/>
      <c r="P113" s="1115"/>
      <c r="Q113" s="1115"/>
      <c r="R113" s="1115"/>
      <c r="S113" s="1115"/>
      <c r="T113" s="1115"/>
    </row>
    <row r="114" spans="1:20" customHeight="1" ht="13.5" s="1114" customFormat="1">
      <c r="A114" s="1109"/>
      <c r="B114" s="1110"/>
      <c r="C114" s="1111"/>
      <c r="D114" s="1112"/>
      <c r="E114" s="1111"/>
      <c r="F114" s="1113"/>
      <c r="M114" s="1115"/>
      <c r="N114" s="1115"/>
      <c r="O114" s="1115"/>
      <c r="P114" s="1115"/>
      <c r="Q114" s="1115"/>
      <c r="R114" s="1115"/>
      <c r="S114" s="1115"/>
      <c r="T114" s="1115"/>
    </row>
    <row r="115" spans="1:20" customHeight="1" ht="15">
      <c r="A115" s="944" t="s">
        <v>435</v>
      </c>
      <c r="B115" s="7"/>
      <c r="C115" s="7"/>
      <c r="D115" s="7"/>
      <c r="E115" s="7"/>
      <c r="F115" s="9"/>
      <c r="G115" s="213"/>
      <c r="H115" s="784"/>
      <c r="I115" s="784"/>
      <c r="J115" s="784"/>
      <c r="K115" s="1093"/>
      <c r="M115" s="599"/>
      <c r="N115" s="599"/>
      <c r="O115" s="599"/>
    </row>
    <row r="116" spans="1:20" customHeight="1" ht="15" s="9" customFormat="1">
      <c r="A116" s="948" t="s">
        <v>642</v>
      </c>
      <c r="B116" s="15"/>
      <c r="C116" s="15"/>
      <c r="D116" s="15"/>
      <c r="E116" s="15"/>
      <c r="F116" s="15"/>
      <c r="G116" s="213"/>
      <c r="H116" s="949"/>
      <c r="I116" s="949"/>
      <c r="J116" s="949"/>
      <c r="K116" s="949"/>
      <c r="L116" s="1071"/>
      <c r="M116" s="529"/>
      <c r="N116" s="529"/>
      <c r="O116" s="529"/>
      <c r="P116" s="529"/>
      <c r="Q116" s="529"/>
      <c r="R116" s="529"/>
      <c r="S116" s="529"/>
      <c r="T116" s="529"/>
    </row>
    <row r="117" spans="1:20" customHeight="1" ht="15" s="9" customFormat="1">
      <c r="A117" s="950" t="s">
        <v>213</v>
      </c>
      <c r="B117" s="15"/>
      <c r="C117" s="15"/>
      <c r="D117" s="15"/>
      <c r="E117" s="15"/>
      <c r="F117" s="15"/>
      <c r="G117" s="213"/>
      <c r="H117" s="949"/>
      <c r="I117" s="949"/>
      <c r="J117" s="949"/>
      <c r="K117" s="949"/>
      <c r="L117" s="1071"/>
      <c r="M117" s="529"/>
      <c r="N117" s="529"/>
      <c r="O117" s="529"/>
      <c r="P117" s="529"/>
      <c r="Q117" s="529"/>
      <c r="R117" s="529"/>
      <c r="S117" s="529"/>
      <c r="T117" s="529"/>
    </row>
    <row r="118" spans="1:20" customHeight="1" ht="15" s="9" customFormat="1">
      <c r="B118" s="9" t="s">
        <v>142</v>
      </c>
      <c r="C118" s="27"/>
      <c r="D118" s="27"/>
      <c r="E118" s="27"/>
      <c r="F118" s="951"/>
      <c r="G118" s="238" t="s">
        <v>143</v>
      </c>
      <c r="H118" s="949"/>
      <c r="I118" s="949"/>
      <c r="J118" s="949"/>
      <c r="K118" s="949"/>
      <c r="L118" s="1071"/>
      <c r="M118" s="529"/>
      <c r="N118" s="529"/>
      <c r="O118" s="529"/>
      <c r="P118" s="529"/>
      <c r="Q118" s="529"/>
      <c r="R118" s="529"/>
      <c r="S118" s="529"/>
      <c r="T118" s="529"/>
    </row>
    <row r="119" spans="1:20" customHeight="1" ht="15" s="9" customFormat="1">
      <c r="C119" s="37" t="s">
        <v>643</v>
      </c>
      <c r="D119" s="27"/>
      <c r="E119" s="27"/>
      <c r="F119" s="951"/>
      <c r="G119" s="238"/>
      <c r="H119" s="1116"/>
      <c r="I119" s="1116">
        <v>0</v>
      </c>
      <c r="J119" s="771">
        <f>K119-I119</f>
        <v>9590000</v>
      </c>
      <c r="K119" s="1116">
        <v>9590000</v>
      </c>
      <c r="L119" s="1117">
        <v>5000000</v>
      </c>
      <c r="M119" s="529"/>
      <c r="N119" s="529"/>
      <c r="O119" s="529"/>
      <c r="P119" s="529"/>
      <c r="Q119" s="529"/>
      <c r="R119" s="529"/>
      <c r="S119" s="529"/>
      <c r="T119" s="529"/>
    </row>
    <row r="120" spans="1:20" customHeight="1" ht="15" s="9" customFormat="1">
      <c r="C120" s="27" t="s">
        <v>644</v>
      </c>
      <c r="D120" s="27"/>
      <c r="E120" s="27"/>
      <c r="F120" s="951"/>
      <c r="G120" s="238"/>
      <c r="H120" s="949"/>
      <c r="I120" s="949">
        <v>0</v>
      </c>
      <c r="J120" s="537">
        <f>K120-I120</f>
        <v>1150000</v>
      </c>
      <c r="K120" s="949">
        <v>1150000</v>
      </c>
      <c r="L120" s="1071">
        <v>500000</v>
      </c>
      <c r="M120" s="529"/>
      <c r="N120" s="529"/>
      <c r="O120" s="529"/>
      <c r="P120" s="529"/>
      <c r="Q120" s="529"/>
      <c r="R120" s="529"/>
      <c r="S120" s="529"/>
      <c r="T120" s="529"/>
    </row>
    <row r="121" spans="1:20" customHeight="1" ht="15" s="9" customFormat="1">
      <c r="C121" s="29" t="s">
        <v>645</v>
      </c>
      <c r="D121" s="27"/>
      <c r="E121" s="27"/>
      <c r="F121" s="951"/>
      <c r="G121" s="238"/>
      <c r="H121" s="949"/>
      <c r="I121" s="949"/>
      <c r="J121" s="949"/>
      <c r="K121" s="949"/>
      <c r="L121" s="1071"/>
      <c r="M121" s="529"/>
      <c r="N121" s="529"/>
      <c r="O121" s="529"/>
      <c r="P121" s="529"/>
      <c r="Q121" s="529"/>
      <c r="R121" s="529"/>
      <c r="S121" s="529"/>
      <c r="T121" s="529"/>
    </row>
    <row r="122" spans="1:20" customHeight="1" ht="15" s="9" customFormat="1">
      <c r="C122" s="37" t="s">
        <v>646</v>
      </c>
      <c r="D122" s="27"/>
      <c r="E122" s="27"/>
      <c r="F122" s="951"/>
      <c r="G122" s="238"/>
      <c r="H122" s="949"/>
      <c r="I122" s="949">
        <v>0</v>
      </c>
      <c r="J122" s="537">
        <f>K122-I122</f>
        <v>1230000</v>
      </c>
      <c r="K122" s="949">
        <v>1230000</v>
      </c>
      <c r="L122" s="1071">
        <v>500000</v>
      </c>
      <c r="M122" s="529"/>
      <c r="N122" s="529"/>
      <c r="O122" s="529"/>
      <c r="P122" s="529"/>
      <c r="Q122" s="529"/>
      <c r="R122" s="529"/>
      <c r="S122" s="529"/>
      <c r="T122" s="529"/>
    </row>
    <row r="123" spans="1:20" customHeight="1" ht="15" s="9" customFormat="1">
      <c r="C123" s="37" t="s">
        <v>647</v>
      </c>
      <c r="D123" s="27"/>
      <c r="E123" s="27"/>
      <c r="F123" s="951"/>
      <c r="G123" s="238"/>
      <c r="H123" s="949"/>
      <c r="I123" s="949">
        <v>11875</v>
      </c>
      <c r="J123" s="537">
        <f>K123-I123</f>
        <v>1088125</v>
      </c>
      <c r="K123" s="949">
        <v>1100000</v>
      </c>
      <c r="L123" s="1071">
        <v>400000</v>
      </c>
      <c r="M123" s="529"/>
      <c r="N123" s="529"/>
      <c r="O123" s="529"/>
      <c r="P123" s="529"/>
      <c r="Q123" s="529"/>
      <c r="R123" s="529"/>
      <c r="S123" s="529"/>
      <c r="T123" s="529"/>
    </row>
    <row r="124" spans="1:20" customHeight="1" ht="15" s="9" customFormat="1">
      <c r="C124" s="37" t="s">
        <v>648</v>
      </c>
      <c r="D124" s="27"/>
      <c r="E124" s="27"/>
      <c r="F124" s="951"/>
      <c r="G124" s="238"/>
      <c r="H124" s="954">
        <v>0</v>
      </c>
      <c r="I124" s="954">
        <v>0</v>
      </c>
      <c r="J124" s="541">
        <f>K124-I124</f>
        <v>650000</v>
      </c>
      <c r="K124" s="973">
        <v>650000</v>
      </c>
      <c r="L124" s="893">
        <v>250000</v>
      </c>
      <c r="M124" s="529"/>
      <c r="N124" s="529"/>
      <c r="O124" s="529"/>
      <c r="P124" s="529"/>
      <c r="Q124" s="529"/>
      <c r="R124" s="529"/>
      <c r="S124" s="529"/>
      <c r="T124" s="529"/>
    </row>
    <row r="125" spans="1:20" customHeight="1" ht="15" s="968" customFormat="1">
      <c r="A125" s="956" t="s">
        <v>649</v>
      </c>
      <c r="B125" s="957"/>
      <c r="C125" s="957"/>
      <c r="D125" s="957"/>
      <c r="E125" s="957"/>
      <c r="F125" s="957"/>
      <c r="G125" s="966"/>
      <c r="H125" s="1085">
        <f>SUM(H118:H124)</f>
        <v>0</v>
      </c>
      <c r="I125" s="1085">
        <f>SUM(I118:I124)</f>
        <v>11875</v>
      </c>
      <c r="J125" s="1085">
        <f>SUM(J118:J124)</f>
        <v>13708125</v>
      </c>
      <c r="K125" s="1085">
        <f>SUM(K118:K124)</f>
        <v>13720000</v>
      </c>
      <c r="L125" s="1100">
        <f>SUM(L118:L124)</f>
        <v>6650000</v>
      </c>
      <c r="M125" s="967"/>
      <c r="N125" s="967"/>
      <c r="O125" s="967"/>
      <c r="P125" s="967"/>
      <c r="Q125" s="967"/>
      <c r="R125" s="967"/>
      <c r="S125" s="967"/>
      <c r="T125" s="967"/>
    </row>
    <row r="126" spans="1:20" customHeight="1" ht="9" s="9" customFormat="1">
      <c r="A126" s="734"/>
      <c r="B126" s="15"/>
      <c r="C126" s="15"/>
      <c r="D126" s="15"/>
      <c r="E126" s="15"/>
      <c r="F126" s="15"/>
      <c r="G126" s="213"/>
      <c r="H126" s="213"/>
      <c r="I126" s="213"/>
      <c r="J126" s="213"/>
      <c r="K126" s="949"/>
      <c r="L126" s="650"/>
      <c r="M126" s="529"/>
      <c r="N126" s="529"/>
      <c r="O126" s="529"/>
      <c r="P126" s="529"/>
      <c r="Q126" s="529"/>
      <c r="R126" s="529"/>
      <c r="S126" s="529"/>
      <c r="T126" s="529"/>
    </row>
    <row r="127" spans="1:20" customHeight="1" ht="15" s="9" customFormat="1">
      <c r="A127" s="948" t="s">
        <v>650</v>
      </c>
      <c r="B127" s="15"/>
      <c r="C127" s="15"/>
      <c r="D127" s="15"/>
      <c r="E127" s="15"/>
      <c r="F127" s="15"/>
      <c r="G127" s="213"/>
      <c r="H127" s="949"/>
      <c r="I127" s="949"/>
      <c r="J127" s="949"/>
      <c r="K127" s="949"/>
      <c r="L127" s="1071"/>
      <c r="M127" s="529"/>
      <c r="N127" s="529"/>
      <c r="O127" s="529"/>
      <c r="P127" s="529"/>
      <c r="Q127" s="529"/>
      <c r="R127" s="529"/>
      <c r="S127" s="529"/>
      <c r="T127" s="529"/>
    </row>
    <row r="128" spans="1:20" customHeight="1" ht="15" s="9" customFormat="1">
      <c r="A128" s="950" t="s">
        <v>213</v>
      </c>
      <c r="B128" s="15"/>
      <c r="C128" s="15"/>
      <c r="D128" s="15"/>
      <c r="E128" s="15"/>
      <c r="F128" s="15"/>
      <c r="G128" s="213"/>
      <c r="H128" s="949"/>
      <c r="I128" s="949"/>
      <c r="J128" s="949"/>
      <c r="K128" s="949"/>
      <c r="L128" s="1071"/>
      <c r="M128" s="529"/>
      <c r="N128" s="529"/>
      <c r="O128" s="529"/>
      <c r="P128" s="529"/>
      <c r="Q128" s="529"/>
      <c r="R128" s="529"/>
      <c r="S128" s="529"/>
      <c r="T128" s="529"/>
    </row>
    <row r="129" spans="1:20" customHeight="1" ht="15" s="9" customFormat="1">
      <c r="B129" s="9" t="s">
        <v>142</v>
      </c>
      <c r="C129" s="27"/>
      <c r="D129" s="27"/>
      <c r="E129" s="27"/>
      <c r="F129" s="951"/>
      <c r="G129" s="238" t="s">
        <v>143</v>
      </c>
      <c r="H129" s="949"/>
      <c r="I129" s="949"/>
      <c r="J129" s="949"/>
      <c r="K129" s="949"/>
      <c r="L129" s="1071"/>
      <c r="M129" s="529"/>
      <c r="N129" s="529"/>
      <c r="O129" s="529"/>
      <c r="P129" s="529"/>
      <c r="Q129" s="529"/>
      <c r="R129" s="529"/>
      <c r="S129" s="529"/>
      <c r="T129" s="529"/>
    </row>
    <row r="130" spans="1:20" customHeight="1" ht="15" s="9" customFormat="1">
      <c r="C130" s="37" t="s">
        <v>651</v>
      </c>
      <c r="D130" s="27"/>
      <c r="E130" s="27"/>
      <c r="F130" s="951"/>
      <c r="G130" s="238"/>
      <c r="H130" s="1116">
        <v>0</v>
      </c>
      <c r="I130" s="1116">
        <v>97400</v>
      </c>
      <c r="J130" s="771">
        <f>K130-I130</f>
        <v>1112600</v>
      </c>
      <c r="K130" s="1116">
        <v>1210000</v>
      </c>
      <c r="L130" s="1117">
        <v>1000000</v>
      </c>
      <c r="M130" s="529"/>
      <c r="N130" s="529"/>
      <c r="O130" s="529"/>
      <c r="P130" s="529"/>
      <c r="Q130" s="529"/>
      <c r="R130" s="529"/>
      <c r="S130" s="529"/>
      <c r="T130" s="529"/>
    </row>
    <row r="131" spans="1:20" customHeight="1" ht="15" s="9" customFormat="1">
      <c r="C131" s="37" t="s">
        <v>652</v>
      </c>
      <c r="D131" s="27"/>
      <c r="E131" s="27"/>
      <c r="F131" s="951"/>
      <c r="G131" s="238"/>
      <c r="H131" s="954">
        <v>0</v>
      </c>
      <c r="I131" s="954">
        <v>100000</v>
      </c>
      <c r="J131" s="541">
        <f>K131-I131</f>
        <v>900000</v>
      </c>
      <c r="K131" s="973">
        <v>1000000</v>
      </c>
      <c r="L131" s="893">
        <v>500000</v>
      </c>
      <c r="M131" s="529"/>
      <c r="N131" s="529"/>
      <c r="O131" s="529"/>
      <c r="P131" s="529"/>
      <c r="Q131" s="529"/>
      <c r="R131" s="529"/>
      <c r="S131" s="529"/>
      <c r="T131" s="529"/>
    </row>
    <row r="132" spans="1:20" customHeight="1" ht="15" s="968" customFormat="1">
      <c r="A132" s="956" t="s">
        <v>653</v>
      </c>
      <c r="B132" s="957"/>
      <c r="C132" s="957"/>
      <c r="D132" s="957"/>
      <c r="E132" s="957"/>
      <c r="F132" s="957"/>
      <c r="G132" s="966"/>
      <c r="H132" s="1085">
        <f>SUM(H129:H131)</f>
        <v>0</v>
      </c>
      <c r="I132" s="1085">
        <f>SUM(I129:I131)</f>
        <v>197400</v>
      </c>
      <c r="J132" s="1085">
        <f>SUM(J129:J131)</f>
        <v>2012600</v>
      </c>
      <c r="K132" s="1085">
        <f>SUM(K129:K131)</f>
        <v>2210000</v>
      </c>
      <c r="L132" s="1100">
        <f>SUM(L129:L131)</f>
        <v>1500000</v>
      </c>
      <c r="M132" s="967"/>
      <c r="N132" s="967"/>
      <c r="O132" s="967"/>
      <c r="P132" s="967"/>
      <c r="Q132" s="967"/>
      <c r="R132" s="967"/>
      <c r="S132" s="967"/>
      <c r="T132" s="967"/>
    </row>
    <row r="133" spans="1:20" customHeight="1" ht="7.5" s="9" customFormat="1">
      <c r="C133" s="27"/>
      <c r="D133" s="27"/>
      <c r="E133" s="27"/>
      <c r="F133" s="951"/>
      <c r="G133" s="238"/>
      <c r="H133" s="238"/>
      <c r="I133" s="238"/>
      <c r="J133" s="238"/>
      <c r="K133" s="949"/>
      <c r="L133" s="755"/>
      <c r="M133" s="529"/>
      <c r="N133" s="529"/>
      <c r="O133" s="529"/>
      <c r="P133" s="529"/>
      <c r="Q133" s="529"/>
      <c r="R133" s="529"/>
      <c r="S133" s="529"/>
      <c r="T133" s="529"/>
    </row>
    <row r="134" spans="1:20" customHeight="1" ht="15" s="9" customFormat="1">
      <c r="A134" s="948" t="s">
        <v>654</v>
      </c>
      <c r="B134" s="15"/>
      <c r="C134" s="15"/>
      <c r="D134" s="15"/>
      <c r="E134" s="15"/>
      <c r="F134" s="15"/>
      <c r="G134" s="213"/>
      <c r="H134" s="949"/>
      <c r="I134" s="949"/>
      <c r="J134" s="949"/>
      <c r="K134" s="949"/>
      <c r="L134" s="1071"/>
      <c r="M134" s="529"/>
      <c r="N134" s="529"/>
      <c r="O134" s="529"/>
      <c r="P134" s="529"/>
      <c r="Q134" s="529"/>
      <c r="R134" s="529"/>
      <c r="S134" s="529"/>
      <c r="T134" s="529"/>
    </row>
    <row r="135" spans="1:20" customHeight="1" ht="15" s="9" customFormat="1">
      <c r="A135" s="950" t="s">
        <v>213</v>
      </c>
      <c r="B135" s="15"/>
      <c r="C135" s="15"/>
      <c r="D135" s="15"/>
      <c r="E135" s="15"/>
      <c r="F135" s="15"/>
      <c r="G135" s="213"/>
      <c r="H135" s="949"/>
      <c r="I135" s="949"/>
      <c r="J135" s="949"/>
      <c r="K135" s="949"/>
      <c r="L135" s="1071"/>
      <c r="M135" s="529"/>
      <c r="N135" s="529"/>
      <c r="O135" s="529"/>
      <c r="P135" s="529"/>
      <c r="Q135" s="529"/>
      <c r="R135" s="529"/>
      <c r="S135" s="529"/>
      <c r="T135" s="529"/>
    </row>
    <row r="136" spans="1:20" customHeight="1" ht="15" s="9" customFormat="1">
      <c r="B136" s="9" t="s">
        <v>142</v>
      </c>
      <c r="C136" s="27"/>
      <c r="D136" s="27"/>
      <c r="E136" s="27"/>
      <c r="F136" s="951"/>
      <c r="G136" s="238" t="s">
        <v>143</v>
      </c>
      <c r="H136" s="1118">
        <v>0</v>
      </c>
      <c r="I136" s="1118">
        <v>10000</v>
      </c>
      <c r="J136" s="1098">
        <f>K136-I136</f>
        <v>1616000</v>
      </c>
      <c r="K136" s="1118">
        <v>1626000</v>
      </c>
      <c r="L136" s="1119">
        <v>700000</v>
      </c>
      <c r="M136" s="529"/>
      <c r="N136" s="529"/>
      <c r="O136" s="529"/>
      <c r="P136" s="529"/>
      <c r="Q136" s="529"/>
      <c r="R136" s="529"/>
      <c r="S136" s="529"/>
      <c r="T136" s="529"/>
    </row>
    <row r="137" spans="1:20" customHeight="1" ht="15" s="968" customFormat="1">
      <c r="A137" s="913" t="s">
        <v>655</v>
      </c>
      <c r="B137" s="969"/>
      <c r="C137" s="969"/>
      <c r="D137" s="969"/>
      <c r="E137" s="969"/>
      <c r="F137" s="969"/>
      <c r="G137" s="970"/>
      <c r="H137" s="1120">
        <f>SUM(H136:H136)</f>
        <v>0</v>
      </c>
      <c r="I137" s="1120">
        <f>SUM(I136:I136)</f>
        <v>10000</v>
      </c>
      <c r="J137" s="1120">
        <f>SUM(J136:J136)</f>
        <v>1616000</v>
      </c>
      <c r="K137" s="1120">
        <f>SUM(K136:K136)</f>
        <v>1626000</v>
      </c>
      <c r="L137" s="1121">
        <f>SUM(L136:L136)</f>
        <v>700000</v>
      </c>
      <c r="M137" s="967"/>
      <c r="N137" s="967"/>
      <c r="O137" s="967"/>
      <c r="P137" s="967"/>
      <c r="Q137" s="967"/>
      <c r="R137" s="967"/>
      <c r="S137" s="967"/>
      <c r="T137" s="967"/>
    </row>
    <row r="138" spans="1:20" customHeight="1" ht="16.5" s="9" customFormat="1">
      <c r="B138" s="28"/>
      <c r="G138" s="238"/>
      <c r="H138" s="238"/>
      <c r="I138" s="238"/>
      <c r="J138" s="238"/>
      <c r="K138" s="983"/>
      <c r="L138" s="77"/>
      <c r="M138" s="529"/>
      <c r="N138" s="529"/>
      <c r="O138" s="529"/>
      <c r="P138" s="529"/>
      <c r="Q138" s="529"/>
      <c r="R138" s="529"/>
      <c r="S138" s="529"/>
      <c r="T138" s="529"/>
    </row>
    <row r="139" spans="1:20" customHeight="1" ht="18" s="9" customFormat="1">
      <c r="A139" s="948" t="s">
        <v>656</v>
      </c>
      <c r="B139" s="15"/>
      <c r="C139" s="15"/>
      <c r="D139" s="15"/>
      <c r="E139" s="15"/>
      <c r="F139" s="15"/>
      <c r="G139" s="213"/>
      <c r="H139" s="949"/>
      <c r="I139" s="949"/>
      <c r="J139" s="949"/>
      <c r="K139" s="949"/>
      <c r="L139" s="1071"/>
      <c r="M139" s="529"/>
      <c r="N139" s="529"/>
      <c r="O139" s="529"/>
      <c r="P139" s="529"/>
      <c r="Q139" s="529"/>
      <c r="R139" s="529"/>
      <c r="S139" s="529"/>
      <c r="T139" s="529"/>
    </row>
    <row r="140" spans="1:20" customHeight="1" ht="18" s="9" customFormat="1">
      <c r="A140" s="948" t="s">
        <v>657</v>
      </c>
      <c r="B140" s="15"/>
      <c r="C140" s="15"/>
      <c r="D140" s="15"/>
      <c r="E140" s="15"/>
      <c r="F140" s="15"/>
      <c r="G140" s="213"/>
      <c r="H140" s="949"/>
      <c r="I140" s="949"/>
      <c r="J140" s="949"/>
      <c r="K140" s="949"/>
      <c r="L140" s="1071"/>
      <c r="M140" s="529"/>
      <c r="N140" s="529"/>
      <c r="O140" s="529"/>
      <c r="P140" s="529"/>
      <c r="Q140" s="529"/>
      <c r="R140" s="529"/>
      <c r="S140" s="529"/>
      <c r="T140" s="529"/>
    </row>
    <row r="141" spans="1:20" customHeight="1" ht="18" s="9" customFormat="1">
      <c r="A141" s="950" t="s">
        <v>213</v>
      </c>
      <c r="B141" s="15"/>
      <c r="C141" s="15"/>
      <c r="D141" s="15"/>
      <c r="E141" s="15"/>
      <c r="F141" s="15"/>
      <c r="G141" s="213"/>
      <c r="H141" s="949"/>
      <c r="I141" s="949"/>
      <c r="J141" s="949"/>
      <c r="K141" s="949"/>
      <c r="L141" s="1071"/>
      <c r="M141" s="529"/>
      <c r="N141" s="529"/>
      <c r="O141" s="529"/>
      <c r="P141" s="529"/>
      <c r="Q141" s="529"/>
      <c r="R141" s="529"/>
      <c r="S141" s="529"/>
      <c r="T141" s="529"/>
    </row>
    <row r="142" spans="1:20" customHeight="1" ht="18" s="9" customFormat="1">
      <c r="B142" s="9" t="s">
        <v>142</v>
      </c>
      <c r="C142" s="27"/>
      <c r="D142" s="27"/>
      <c r="E142" s="27"/>
      <c r="F142" s="951"/>
      <c r="G142" s="238" t="s">
        <v>143</v>
      </c>
      <c r="H142" s="1118">
        <v>0</v>
      </c>
      <c r="I142" s="1118">
        <v>0</v>
      </c>
      <c r="J142" s="1098">
        <f>K142-I142</f>
        <v>0</v>
      </c>
      <c r="K142" s="1118">
        <v>0</v>
      </c>
      <c r="L142" s="1119">
        <v>400000</v>
      </c>
      <c r="M142" s="529"/>
      <c r="N142" s="529"/>
      <c r="O142" s="529"/>
      <c r="P142" s="529"/>
      <c r="Q142" s="529"/>
      <c r="R142" s="529"/>
      <c r="S142" s="529"/>
      <c r="T142" s="529"/>
    </row>
    <row r="143" spans="1:20" customHeight="1" ht="18" s="968" customFormat="1">
      <c r="A143" s="956" t="s">
        <v>658</v>
      </c>
      <c r="B143" s="957"/>
      <c r="C143" s="957"/>
      <c r="D143" s="957"/>
      <c r="E143" s="957"/>
      <c r="F143" s="957"/>
      <c r="G143" s="966"/>
      <c r="H143" s="1085">
        <f>SUM(H142:H142)</f>
        <v>0</v>
      </c>
      <c r="I143" s="1085">
        <f>SUM(I142:I142)</f>
        <v>0</v>
      </c>
      <c r="J143" s="1085">
        <f>SUM(J142:J142)</f>
        <v>0</v>
      </c>
      <c r="K143" s="1085">
        <f>SUM(K142:K142)</f>
        <v>0</v>
      </c>
      <c r="L143" s="1100">
        <f>SUM(L142:L142)</f>
        <v>400000</v>
      </c>
      <c r="M143" s="967"/>
      <c r="N143" s="967"/>
      <c r="O143" s="967"/>
      <c r="P143" s="967"/>
      <c r="Q143" s="967"/>
      <c r="R143" s="967"/>
      <c r="S143" s="967"/>
      <c r="T143" s="967"/>
    </row>
    <row r="144" spans="1:20" customHeight="1" ht="18" s="9" customFormat="1">
      <c r="B144" s="28"/>
      <c r="G144" s="238"/>
      <c r="H144" s="238"/>
      <c r="I144" s="238"/>
      <c r="J144" s="238"/>
      <c r="K144" s="983"/>
      <c r="L144" s="77"/>
      <c r="M144" s="529"/>
      <c r="N144" s="529"/>
      <c r="O144" s="529"/>
      <c r="P144" s="529"/>
      <c r="Q144" s="529"/>
      <c r="R144" s="529"/>
      <c r="S144" s="529"/>
      <c r="T144" s="529"/>
    </row>
    <row r="145" spans="1:20" customHeight="1" ht="18" s="550" customFormat="1">
      <c r="A145" s="18" t="s">
        <v>252</v>
      </c>
      <c r="B145" s="18"/>
      <c r="C145" s="18"/>
      <c r="D145" s="18"/>
      <c r="E145" s="18"/>
      <c r="F145" s="18"/>
      <c r="G145" s="219"/>
      <c r="H145" s="1122">
        <f>H125+H132+H137+H143</f>
        <v>0</v>
      </c>
      <c r="I145" s="1122">
        <f>I125+I132+I137+I143</f>
        <v>219275</v>
      </c>
      <c r="J145" s="1122">
        <f>J125+J132+J137+J143</f>
        <v>17336725</v>
      </c>
      <c r="K145" s="1122">
        <f>K125+K132+K137+K143</f>
        <v>17556000</v>
      </c>
      <c r="L145" s="1123">
        <f>L125+L132+L137+L143</f>
        <v>9250000</v>
      </c>
      <c r="M145" s="590"/>
      <c r="N145" s="590"/>
      <c r="O145" s="590"/>
      <c r="P145" s="590"/>
      <c r="Q145" s="549"/>
      <c r="R145" s="549"/>
      <c r="S145" s="549"/>
      <c r="T145" s="549"/>
    </row>
    <row r="146" spans="1:20" customHeight="1" ht="18">
      <c r="A146" s="992"/>
      <c r="B146" s="992"/>
      <c r="C146" s="992"/>
      <c r="D146" s="992"/>
      <c r="E146" s="992"/>
      <c r="F146" s="992"/>
      <c r="G146" s="993"/>
      <c r="H146" s="993"/>
      <c r="I146" s="993"/>
      <c r="J146" s="993"/>
      <c r="K146" s="993"/>
      <c r="L146" s="994"/>
    </row>
    <row r="147" spans="1:20" customHeight="1" ht="18" s="273" customFormat="1">
      <c r="A147" s="6"/>
      <c r="B147" s="6"/>
      <c r="G147" s="508"/>
      <c r="H147" s="508"/>
    </row>
    <row r="148" spans="1:20" customHeight="1" ht="18" s="9" customFormat="1">
      <c r="A148" s="9" t="s">
        <v>182</v>
      </c>
      <c r="I148" s="509"/>
      <c r="J148" s="509"/>
      <c r="K148" s="509"/>
      <c r="L148" s="509"/>
    </row>
    <row r="149" spans="1:20" customHeight="1" ht="18" s="9" customFormat="1">
      <c r="G149" s="510"/>
      <c r="H149" s="510"/>
      <c r="I149" s="510"/>
      <c r="J149" s="510"/>
      <c r="K149" s="510"/>
      <c r="L149" s="510"/>
    </row>
    <row r="150" spans="1:20" customHeight="1" ht="18" s="9" customFormat="1">
      <c r="A150" s="1493" t="s">
        <v>183</v>
      </c>
      <c r="B150" s="1493"/>
      <c r="C150" s="1493"/>
      <c r="D150" s="511"/>
      <c r="E150" s="511"/>
      <c r="F150" s="512" t="s">
        <v>184</v>
      </c>
      <c r="G150" s="509"/>
      <c r="H150" s="509"/>
      <c r="I150" s="509"/>
      <c r="J150" s="510" t="s">
        <v>185</v>
      </c>
      <c r="K150" s="1494"/>
      <c r="L150" s="1494"/>
    </row>
    <row r="151" spans="1:20" customHeight="1" ht="18" s="9" customFormat="1"/>
    <row r="152" spans="1:20" customHeight="1" ht="18" s="9" customFormat="1"/>
    <row r="153" spans="1:20" customHeight="1" ht="18" s="11" customFormat="1">
      <c r="A153" s="1489" t="s">
        <v>659</v>
      </c>
      <c r="B153" s="1489"/>
      <c r="C153" s="1489"/>
      <c r="D153" s="1489"/>
      <c r="E153" s="1489"/>
      <c r="F153" s="1489" t="s">
        <v>187</v>
      </c>
      <c r="G153" s="1489"/>
      <c r="H153" s="1489"/>
      <c r="I153" s="1489"/>
      <c r="J153" s="1489" t="s">
        <v>186</v>
      </c>
      <c r="K153" s="1489"/>
      <c r="L153" s="1489"/>
    </row>
    <row r="154" spans="1:20" customHeight="1" ht="12" s="11" customFormat="1">
      <c r="A154" s="1468" t="s">
        <v>189</v>
      </c>
      <c r="B154" s="1468"/>
      <c r="C154" s="1468"/>
      <c r="D154" s="1468"/>
      <c r="E154" s="1468"/>
      <c r="F154" s="1468" t="s">
        <v>189</v>
      </c>
      <c r="G154" s="1468"/>
      <c r="H154" s="1468"/>
      <c r="I154" s="1468"/>
      <c r="J154" s="1468" t="s">
        <v>188</v>
      </c>
      <c r="K154" s="1468"/>
      <c r="L154" s="1468"/>
    </row>
    <row r="155" spans="1:20" customHeight="1" ht="12" s="9" customFormat="1">
      <c r="A155" s="1468" t="s">
        <v>660</v>
      </c>
      <c r="B155" s="1468"/>
      <c r="C155" s="1468"/>
      <c r="D155" s="1468"/>
      <c r="E155" s="1468"/>
      <c r="F155" s="1468" t="s">
        <v>190</v>
      </c>
      <c r="G155" s="1468"/>
      <c r="H155" s="1468"/>
      <c r="I155" s="1468"/>
      <c r="J155" s="1468"/>
      <c r="K155" s="1468"/>
      <c r="L155" s="1468"/>
    </row>
    <row r="156" spans="1:20" customHeight="1" ht="15"/>
    <row r="157" spans="1:20" customHeight="1" ht="15" s="11" customFormat="1">
      <c r="A157" s="342"/>
      <c r="B157" s="343"/>
      <c r="C157" s="342"/>
      <c r="D157" s="177"/>
      <c r="E157" s="177"/>
      <c r="F157" s="177"/>
      <c r="G157" s="344"/>
      <c r="H157" s="356">
        <f>H145+H110+H104+H97+H91+H85+H77</f>
        <v>17634366.12</v>
      </c>
      <c r="I157" s="356">
        <f>I145+I110+I104+I97+I91+I85+I77</f>
        <v>8732077.25</v>
      </c>
      <c r="J157" s="356">
        <f>J145+J110+J104+J97+J91+J85+J77</f>
        <v>37813832.43</v>
      </c>
      <c r="K157" s="356">
        <f>K145+K110+K104+K97+K91+K85+K77</f>
        <v>46545909.68</v>
      </c>
      <c r="L157" s="356">
        <f>L145+L110+L104+L97+L91+L85+L77</f>
        <v>35734026.04</v>
      </c>
      <c r="M157" s="817"/>
      <c r="N157" s="817"/>
      <c r="O157" s="817"/>
      <c r="P157" s="817"/>
      <c r="Q157" s="817"/>
      <c r="R157" s="817"/>
      <c r="S157" s="817"/>
      <c r="T157" s="817"/>
    </row>
    <row r="158" spans="1:20" customHeight="1" ht="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995"/>
    </row>
    <row r="159" spans="1:20" customHeight="1" ht="16.5">
      <c r="A159" s="996"/>
      <c r="B159" s="4"/>
      <c r="C159" s="4"/>
      <c r="D159" s="11"/>
      <c r="E159" s="997"/>
      <c r="F159" s="997"/>
      <c r="G159" s="997"/>
      <c r="H159" s="997"/>
      <c r="I159" s="1124">
        <v>1296095</v>
      </c>
      <c r="J159" s="1124">
        <f>K159-I159</f>
        <v>3703905</v>
      </c>
      <c r="K159" s="1124">
        <v>5000000</v>
      </c>
      <c r="L159" s="997"/>
    </row>
    <row r="160" spans="1:20" customHeight="1" ht="14.25">
      <c r="A160" s="4"/>
      <c r="B160" s="4"/>
      <c r="E160" s="997"/>
      <c r="F160" s="997"/>
      <c r="G160" s="997"/>
      <c r="H160" s="1125"/>
      <c r="I160" s="1126">
        <f>I159+I157</f>
        <v>10028172.25</v>
      </c>
      <c r="J160" s="1126">
        <f>J159+J157</f>
        <v>41517737.43</v>
      </c>
      <c r="K160" s="1126">
        <f>K159+K157</f>
        <v>51545909.68</v>
      </c>
      <c r="L160" s="997"/>
    </row>
    <row r="161" spans="1:20" customHeight="1" ht="18" s="553" customFormat="1">
      <c r="A161" s="11"/>
      <c r="B161" s="11"/>
      <c r="C161" s="11"/>
      <c r="D161" s="11"/>
      <c r="E161" s="999"/>
      <c r="F161" s="999"/>
      <c r="G161" s="999"/>
      <c r="H161" s="999"/>
      <c r="I161" s="999"/>
      <c r="J161" s="999"/>
      <c r="K161" s="999"/>
      <c r="L161" s="999"/>
    </row>
    <row r="162" spans="1:20" customHeight="1" ht="18" s="553" customFormat="1">
      <c r="A162" s="11"/>
      <c r="B162" s="11"/>
      <c r="C162" s="11"/>
      <c r="D162" s="11"/>
      <c r="E162" s="999"/>
      <c r="F162" s="999"/>
      <c r="G162" s="999"/>
      <c r="H162" s="999"/>
      <c r="I162" s="999"/>
      <c r="J162" s="999"/>
      <c r="K162" s="999"/>
      <c r="L162" s="999"/>
    </row>
    <row r="163" spans="1:20" customHeight="1" ht="18" s="553" customFormat="1">
      <c r="A163" s="11"/>
      <c r="B163" s="11"/>
      <c r="C163" s="11"/>
      <c r="D163" s="11"/>
      <c r="E163" s="999"/>
      <c r="F163" s="999"/>
      <c r="G163" s="999"/>
      <c r="H163" s="999"/>
      <c r="I163" s="999"/>
      <c r="J163" s="999"/>
      <c r="K163" s="999"/>
      <c r="L163" s="999"/>
    </row>
    <row r="164" spans="1:20" customHeight="1" ht="18" s="553" customFormat="1">
      <c r="A164" s="11"/>
      <c r="B164" s="11"/>
      <c r="C164" s="11"/>
      <c r="D164" s="11"/>
      <c r="E164" s="999"/>
      <c r="F164" s="999"/>
      <c r="G164" s="999"/>
      <c r="H164" s="999"/>
      <c r="I164" s="999"/>
      <c r="J164" s="999"/>
      <c r="K164" s="999"/>
      <c r="L164" s="999"/>
    </row>
    <row r="165" spans="1:20" customHeight="1" ht="18" s="553" customForma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598"/>
    </row>
    <row r="176" spans="1:20" customHeight="1" ht="18" s="553" customFormat="1">
      <c r="A176" s="11"/>
      <c r="B176" s="11"/>
      <c r="C176" s="11"/>
      <c r="D176" s="11"/>
      <c r="E176" s="11"/>
      <c r="F176" s="11"/>
      <c r="G176" s="11"/>
      <c r="H176" s="386" t="str">
        <f>H145+#REF!+#REF!+#REF!+#REF!+#REF!+#REF!+H77</f>
        <v>0</v>
      </c>
      <c r="I176" s="386"/>
      <c r="J176" s="386"/>
      <c r="K176" s="386" t="str">
        <f>K145+#REF!+#REF!+#REF!+#REF!+#REF!+#REF!+K77</f>
        <v>0</v>
      </c>
      <c r="L176" s="386" t="str">
        <f>L145+#REF!+#REF!+#REF!+#REF!+#REF!+#REF!+L77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0:C150"/>
    <mergeCell ref="A155:E155"/>
    <mergeCell ref="F155:I155"/>
    <mergeCell ref="J155:L155"/>
    <mergeCell ref="K150:L150"/>
    <mergeCell ref="A153:E153"/>
    <mergeCell ref="F153:I153"/>
    <mergeCell ref="J153:L153"/>
    <mergeCell ref="A154:E154"/>
    <mergeCell ref="F154:I154"/>
    <mergeCell ref="J154:L154"/>
    <mergeCell ref="A15:F15"/>
    <mergeCell ref="A93:D93"/>
    <mergeCell ref="A98:D98"/>
    <mergeCell ref="A106:D106"/>
    <mergeCell ref="A112:D112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16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17"/>
  <sheetViews>
    <sheetView tabSelected="0" workbookViewId="0" view="pageBreakPreview" showGridLines="false" showRowColHeaders="1">
      <selection activeCell="F3" sqref="F3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2.7109375" customWidth="true" style="9"/>
    <col min="6" max="6" width="13" customWidth="true" style="1176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11"/>
    <col min="12" max="12" width="16.7109375" customWidth="true" style="11"/>
    <col min="13" max="13" width="14.85546875" customWidth="true" style="1177"/>
    <col min="14" max="14" width="13.5703125" customWidth="true" style="0"/>
    <col min="15" max="15" width="12.42578125" customWidth="true" style="0"/>
  </cols>
  <sheetData>
    <row r="1" spans="1:15" customHeight="1" ht="9.95" s="173" customFormat="1">
      <c r="A1" s="173" t="s">
        <v>0</v>
      </c>
      <c r="J1" s="174"/>
      <c r="L1" s="175"/>
    </row>
    <row r="2" spans="1:15" customHeight="1" ht="9.95" s="173" customFormat="1">
      <c r="A2" s="173" t="s">
        <v>1</v>
      </c>
      <c r="J2" s="174"/>
      <c r="L2" s="175"/>
    </row>
    <row r="3" spans="1:15" customHeight="1" ht="9.95" s="173" customFormat="1">
      <c r="A3" s="173" t="s">
        <v>2</v>
      </c>
      <c r="J3" s="174"/>
      <c r="L3" s="175"/>
    </row>
    <row r="4" spans="1:15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5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5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5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5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661</v>
      </c>
    </row>
    <row r="9" spans="1:15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15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5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5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5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5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5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5" customHeight="1" ht="15" s="9" customFormat="1">
      <c r="A16" s="15" t="s">
        <v>24</v>
      </c>
      <c r="B16" s="15"/>
      <c r="C16" s="15"/>
      <c r="D16" s="15"/>
      <c r="E16" s="15"/>
      <c r="F16" s="525"/>
      <c r="G16" s="526"/>
      <c r="H16" s="587"/>
      <c r="I16" s="586"/>
      <c r="J16" s="635"/>
      <c r="K16" s="532"/>
      <c r="M16" s="548"/>
    </row>
    <row r="17" spans="1:15" customHeight="1" ht="15" s="9" customFormat="1">
      <c r="A17" s="734" t="s">
        <v>25</v>
      </c>
      <c r="B17" s="15"/>
      <c r="C17" s="15"/>
      <c r="D17" s="15"/>
      <c r="E17" s="15"/>
      <c r="F17" s="525"/>
      <c r="G17" s="532"/>
      <c r="H17" s="538"/>
      <c r="I17" s="537"/>
      <c r="J17" s="617"/>
      <c r="K17" s="532"/>
      <c r="M17" s="548"/>
    </row>
    <row r="18" spans="1:15" customHeight="1" ht="15" s="9" customFormat="1">
      <c r="B18" s="9" t="s">
        <v>26</v>
      </c>
      <c r="F18" s="664"/>
      <c r="G18" s="213" t="s">
        <v>27</v>
      </c>
      <c r="H18" s="1056">
        <v>8777692.63</v>
      </c>
      <c r="I18" s="645">
        <v>4700264.24</v>
      </c>
      <c r="J18" s="614">
        <f>K18-I18</f>
        <v>7929219.76</v>
      </c>
      <c r="K18" s="771">
        <v>12629484</v>
      </c>
      <c r="L18" s="772">
        <v>13056348</v>
      </c>
      <c r="M18" s="548"/>
    </row>
    <row r="19" spans="1:15" customHeight="1" ht="15" s="9" customFormat="1">
      <c r="B19" s="9" t="s">
        <v>28</v>
      </c>
      <c r="F19" s="664"/>
      <c r="G19" s="213" t="s">
        <v>29</v>
      </c>
      <c r="H19" s="529">
        <v>1225090.91</v>
      </c>
      <c r="I19" s="616">
        <v>631454.51</v>
      </c>
      <c r="J19" s="529">
        <f>K19-I19</f>
        <v>1024545.49</v>
      </c>
      <c r="K19" s="537">
        <v>1656000</v>
      </c>
      <c r="L19" s="533">
        <v>1656000</v>
      </c>
      <c r="M19" s="548"/>
    </row>
    <row r="20" spans="1:15" customHeight="1" ht="15" s="9" customFormat="1">
      <c r="B20" s="9" t="s">
        <v>30</v>
      </c>
      <c r="F20" s="664"/>
      <c r="G20" s="213" t="s">
        <v>31</v>
      </c>
      <c r="H20" s="1127">
        <v>81000</v>
      </c>
      <c r="I20" s="616">
        <v>58500</v>
      </c>
      <c r="J20" s="529">
        <f>K20-I20</f>
        <v>76500</v>
      </c>
      <c r="K20" s="537">
        <v>135000</v>
      </c>
      <c r="L20" s="533">
        <v>135000</v>
      </c>
      <c r="M20" s="548"/>
    </row>
    <row r="21" spans="1:15" customHeight="1" ht="15" s="9" customFormat="1">
      <c r="B21" s="9" t="s">
        <v>32</v>
      </c>
      <c r="F21" s="664"/>
      <c r="G21" s="213" t="s">
        <v>33</v>
      </c>
      <c r="H21" s="1127">
        <v>81000</v>
      </c>
      <c r="I21" s="616">
        <v>58500</v>
      </c>
      <c r="J21" s="529">
        <f>K21-I21</f>
        <v>76500</v>
      </c>
      <c r="K21" s="537">
        <v>135000</v>
      </c>
      <c r="L21" s="533">
        <v>135000</v>
      </c>
      <c r="M21" s="548"/>
    </row>
    <row r="22" spans="1:15" customHeight="1" ht="15" s="9" customFormat="1">
      <c r="B22" s="9" t="s">
        <v>34</v>
      </c>
      <c r="F22" s="664"/>
      <c r="G22" s="213" t="s">
        <v>35</v>
      </c>
      <c r="H22" s="1127">
        <v>312000</v>
      </c>
      <c r="I22" s="616">
        <v>282000</v>
      </c>
      <c r="J22" s="529">
        <f>K22-I22</f>
        <v>132000</v>
      </c>
      <c r="K22" s="537">
        <v>414000</v>
      </c>
      <c r="L22" s="533">
        <v>414000</v>
      </c>
      <c r="M22" s="548"/>
    </row>
    <row r="23" spans="1:15" customHeight="1" ht="15" s="9" customFormat="1">
      <c r="B23" s="9" t="s">
        <v>36</v>
      </c>
      <c r="F23" s="664"/>
      <c r="G23" s="213" t="s">
        <v>37</v>
      </c>
      <c r="H23" s="538">
        <v>43216.91</v>
      </c>
      <c r="I23" s="616">
        <v>17907.88</v>
      </c>
      <c r="J23" s="529">
        <f>K23-I23</f>
        <v>337092.12</v>
      </c>
      <c r="K23" s="537">
        <v>355000</v>
      </c>
      <c r="L23" s="533">
        <f>SUM(F24:F26)</f>
        <v>355000</v>
      </c>
      <c r="M23" s="548"/>
    </row>
    <row r="24" spans="1:15" customHeight="1" ht="15" s="9" customFormat="1">
      <c r="B24" s="28" t="s">
        <v>65</v>
      </c>
      <c r="F24" s="533">
        <v>150000</v>
      </c>
      <c r="G24" s="238"/>
      <c r="H24" s="1056"/>
      <c r="I24" s="616"/>
      <c r="J24" s="614"/>
      <c r="K24" s="645"/>
      <c r="L24" s="615"/>
      <c r="M24" s="548"/>
    </row>
    <row r="25" spans="1:15" customHeight="1" ht="15" s="9" customFormat="1">
      <c r="B25" s="28" t="s">
        <v>662</v>
      </c>
      <c r="F25" s="533">
        <v>55000</v>
      </c>
      <c r="G25" s="238"/>
      <c r="H25" s="1056"/>
      <c r="I25" s="616"/>
      <c r="J25" s="614"/>
      <c r="K25" s="645"/>
      <c r="L25" s="615"/>
      <c r="M25" s="548"/>
    </row>
    <row r="26" spans="1:15" customHeight="1" ht="15" s="9" customFormat="1">
      <c r="B26" s="28" t="s">
        <v>663</v>
      </c>
      <c r="F26" s="557">
        <v>150000</v>
      </c>
      <c r="G26" s="238"/>
      <c r="H26" s="1056"/>
      <c r="I26" s="616"/>
      <c r="J26" s="614"/>
      <c r="K26" s="645"/>
      <c r="L26" s="615"/>
      <c r="M26" s="548"/>
    </row>
    <row r="27" spans="1:15" customHeight="1" ht="15" s="9" customFormat="1">
      <c r="B27" s="9" t="s">
        <v>38</v>
      </c>
      <c r="F27" s="664"/>
      <c r="G27" s="213" t="s">
        <v>39</v>
      </c>
      <c r="H27" s="1127">
        <v>748894.4</v>
      </c>
      <c r="I27" s="616">
        <v>0</v>
      </c>
      <c r="J27" s="529">
        <f>K27-I27</f>
        <v>1052457</v>
      </c>
      <c r="K27" s="537">
        <v>1052457</v>
      </c>
      <c r="L27" s="533">
        <v>1088029</v>
      </c>
      <c r="M27" s="548"/>
    </row>
    <row r="28" spans="1:15" customHeight="1" ht="15" s="9" customFormat="1">
      <c r="B28" s="9" t="s">
        <v>40</v>
      </c>
      <c r="F28" s="664"/>
      <c r="G28" s="213" t="s">
        <v>41</v>
      </c>
      <c r="H28" s="1127">
        <v>258000</v>
      </c>
      <c r="I28" s="616">
        <v>0</v>
      </c>
      <c r="J28" s="529">
        <f>K28-I28</f>
        <v>345000</v>
      </c>
      <c r="K28" s="537">
        <v>345000</v>
      </c>
      <c r="L28" s="533">
        <v>345000</v>
      </c>
      <c r="M28" s="548"/>
    </row>
    <row r="29" spans="1:15" customHeight="1" ht="15" s="9" customFormat="1">
      <c r="A29" s="734"/>
      <c r="B29" s="5" t="s">
        <v>42</v>
      </c>
      <c r="C29" s="28"/>
      <c r="F29" s="951"/>
      <c r="G29" s="213" t="s">
        <v>43</v>
      </c>
      <c r="H29" s="538">
        <v>1000650</v>
      </c>
      <c r="I29" s="616">
        <v>690192</v>
      </c>
      <c r="J29" s="529">
        <f>K29-I29</f>
        <v>707265</v>
      </c>
      <c r="K29" s="537">
        <v>1397457</v>
      </c>
      <c r="L29" s="533">
        <f>SUM(F30:F31)</f>
        <v>1433029</v>
      </c>
      <c r="M29" s="548"/>
    </row>
    <row r="30" spans="1:15" customHeight="1" ht="15" s="9" customFormat="1">
      <c r="A30" s="734"/>
      <c r="C30" s="37" t="s">
        <v>44</v>
      </c>
      <c r="F30" s="533">
        <f>L27</f>
        <v>1088029</v>
      </c>
      <c r="G30" s="213"/>
      <c r="H30" s="538"/>
      <c r="I30" s="616"/>
      <c r="J30" s="617"/>
      <c r="K30" s="537"/>
      <c r="L30" s="533"/>
      <c r="M30" s="548"/>
    </row>
    <row r="31" spans="1:15" customHeight="1" ht="15" s="9" customFormat="1">
      <c r="A31" s="7"/>
      <c r="C31" s="37" t="s">
        <v>45</v>
      </c>
      <c r="F31" s="557">
        <f>L28</f>
        <v>345000</v>
      </c>
      <c r="G31" s="213"/>
      <c r="H31" s="538"/>
      <c r="I31" s="616"/>
      <c r="J31" s="617"/>
      <c r="K31" s="537"/>
      <c r="L31" s="533"/>
      <c r="M31" s="548"/>
    </row>
    <row r="32" spans="1:15" customHeight="1" ht="15" s="9" customFormat="1">
      <c r="B32" s="9" t="s">
        <v>46</v>
      </c>
      <c r="F32" s="664"/>
      <c r="G32" s="213" t="s">
        <v>47</v>
      </c>
      <c r="H32" s="538">
        <v>1067827.08</v>
      </c>
      <c r="I32" s="616">
        <v>563825.72</v>
      </c>
      <c r="J32" s="529">
        <f>K32-I32</f>
        <v>951712.36</v>
      </c>
      <c r="K32" s="537">
        <v>1515538.08</v>
      </c>
      <c r="L32" s="533">
        <v>1566761.76</v>
      </c>
      <c r="M32" s="548"/>
    </row>
    <row r="33" spans="1:15" customHeight="1" ht="15" s="9" customFormat="1">
      <c r="B33" s="9" t="s">
        <v>48</v>
      </c>
      <c r="F33" s="664"/>
      <c r="G33" s="213" t="s">
        <v>49</v>
      </c>
      <c r="H33" s="1127">
        <v>61300</v>
      </c>
      <c r="I33" s="616">
        <v>31800</v>
      </c>
      <c r="J33" s="529">
        <f>K33-I33</f>
        <v>51000</v>
      </c>
      <c r="K33" s="537">
        <v>82800</v>
      </c>
      <c r="L33" s="533">
        <v>82800</v>
      </c>
      <c r="M33" s="548"/>
    </row>
    <row r="34" spans="1:15" customHeight="1" ht="15" s="9" customFormat="1">
      <c r="B34" s="9" t="s">
        <v>50</v>
      </c>
      <c r="F34" s="664"/>
      <c r="G34" s="213" t="s">
        <v>51</v>
      </c>
      <c r="H34" s="1127">
        <v>127441.07</v>
      </c>
      <c r="I34" s="616">
        <v>67420.02</v>
      </c>
      <c r="J34" s="529">
        <f>K34-I34</f>
        <v>182599.5</v>
      </c>
      <c r="K34" s="537">
        <v>250019.52</v>
      </c>
      <c r="L34" s="533">
        <v>293114.16</v>
      </c>
      <c r="M34" s="548"/>
    </row>
    <row r="35" spans="1:15" customHeight="1" ht="15" s="9" customFormat="1">
      <c r="B35" s="9" t="s">
        <v>52</v>
      </c>
      <c r="C35" s="27"/>
      <c r="F35" s="664"/>
      <c r="G35" s="213" t="s">
        <v>53</v>
      </c>
      <c r="H35" s="1127">
        <v>61300</v>
      </c>
      <c r="I35" s="616">
        <v>31604.88</v>
      </c>
      <c r="J35" s="529">
        <f>K35-I35</f>
        <v>51195.12</v>
      </c>
      <c r="K35" s="537">
        <v>82800</v>
      </c>
      <c r="L35" s="533">
        <v>82800</v>
      </c>
      <c r="M35" s="548"/>
    </row>
    <row r="36" spans="1:15" customHeight="1" ht="15" s="9" customFormat="1">
      <c r="B36" s="9" t="s">
        <v>58</v>
      </c>
      <c r="F36" s="664"/>
      <c r="G36" s="213" t="s">
        <v>59</v>
      </c>
      <c r="H36" s="542">
        <v>1347500</v>
      </c>
      <c r="I36" s="619">
        <v>0</v>
      </c>
      <c r="J36" s="620">
        <v>0</v>
      </c>
      <c r="K36" s="541">
        <v>0</v>
      </c>
      <c r="L36" s="557">
        <v>0</v>
      </c>
      <c r="M36" s="548"/>
    </row>
    <row r="37" spans="1:15" customHeight="1" ht="15" s="6" customFormat="1">
      <c r="A37" s="543" t="s">
        <v>61</v>
      </c>
      <c r="B37" s="543"/>
      <c r="C37" s="543"/>
      <c r="D37" s="543"/>
      <c r="E37" s="543"/>
      <c r="F37" s="1128"/>
      <c r="G37" s="545"/>
      <c r="H37" s="547">
        <f>SUM(H16:H36)</f>
        <v>15192913</v>
      </c>
      <c r="I37" s="547">
        <f>SUM(I16:I36)</f>
        <v>7133469.25</v>
      </c>
      <c r="J37" s="547">
        <f>SUM(J16:J36)</f>
        <v>12917086.35</v>
      </c>
      <c r="K37" s="547">
        <f>SUM(K16:K36)</f>
        <v>20050555.6</v>
      </c>
      <c r="L37" s="547">
        <f>SUM(L16:L36)</f>
        <v>20642881.92</v>
      </c>
      <c r="M37" s="775"/>
      <c r="N37" s="775"/>
    </row>
    <row r="38" spans="1:15" customHeight="1" ht="8.25" s="6" customFormat="1">
      <c r="F38" s="1129"/>
      <c r="G38" s="243"/>
      <c r="H38" s="713"/>
      <c r="I38" s="627"/>
      <c r="J38" s="628"/>
      <c r="K38" s="627"/>
      <c r="L38" s="713"/>
      <c r="M38" s="775"/>
      <c r="N38" s="775"/>
    </row>
    <row r="39" spans="1:15" customHeight="1" ht="15.95" s="917" customFormat="1">
      <c r="A39" s="1130" t="s">
        <v>292</v>
      </c>
      <c r="B39" s="731"/>
      <c r="C39" s="731"/>
      <c r="D39" s="731"/>
      <c r="E39" s="731"/>
      <c r="F39" s="1131"/>
      <c r="G39" s="1132"/>
      <c r="H39" s="1133"/>
      <c r="I39" s="1134"/>
      <c r="J39" s="1135"/>
      <c r="K39" s="1136"/>
      <c r="M39" s="1137"/>
    </row>
    <row r="40" spans="1:15" customHeight="1" ht="15.6" s="9" customFormat="1">
      <c r="B40" s="9" t="s">
        <v>63</v>
      </c>
      <c r="F40" s="664"/>
      <c r="G40" s="238" t="s">
        <v>64</v>
      </c>
      <c r="H40" s="1056">
        <v>22590</v>
      </c>
      <c r="I40" s="645">
        <v>0</v>
      </c>
      <c r="J40" s="614">
        <f>K40-I40</f>
        <v>200000</v>
      </c>
      <c r="K40" s="645">
        <v>200000</v>
      </c>
      <c r="L40" s="615">
        <v>150000</v>
      </c>
      <c r="M40" s="548"/>
    </row>
    <row r="41" spans="1:15" customHeight="1" ht="15.6" s="9" customFormat="1">
      <c r="B41" s="9" t="s">
        <v>72</v>
      </c>
      <c r="F41" s="664"/>
      <c r="G41" s="238" t="s">
        <v>73</v>
      </c>
      <c r="H41" s="538">
        <v>0</v>
      </c>
      <c r="I41" s="537">
        <v>0</v>
      </c>
      <c r="J41" s="529">
        <f>K41-I41</f>
        <v>50000</v>
      </c>
      <c r="K41" s="537">
        <v>50000</v>
      </c>
      <c r="L41" s="533">
        <v>50000</v>
      </c>
      <c r="M41" s="548"/>
    </row>
    <row r="42" spans="1:15" customHeight="1" ht="15.6" s="9" customFormat="1">
      <c r="B42" s="9" t="s">
        <v>234</v>
      </c>
      <c r="F42" s="664"/>
      <c r="G42" s="238" t="s">
        <v>77</v>
      </c>
      <c r="H42" s="538">
        <v>199328</v>
      </c>
      <c r="I42" s="537">
        <f>0+0+0</f>
        <v>0</v>
      </c>
      <c r="J42" s="529">
        <f>K42-I42</f>
        <v>325000</v>
      </c>
      <c r="K42" s="537">
        <f>275000+25000+25000</f>
        <v>325000</v>
      </c>
      <c r="L42" s="533">
        <f>SUM(F43:F45)</f>
        <v>200000</v>
      </c>
      <c r="M42" s="548"/>
    </row>
    <row r="43" spans="1:15" customHeight="1" ht="15.6" s="9" customFormat="1">
      <c r="B43" s="28" t="s">
        <v>65</v>
      </c>
      <c r="F43" s="533">
        <v>150000</v>
      </c>
      <c r="G43" s="238"/>
      <c r="H43" s="1056"/>
      <c r="I43" s="645"/>
      <c r="J43" s="614"/>
      <c r="K43" s="645"/>
      <c r="L43" s="615"/>
      <c r="M43" s="548"/>
    </row>
    <row r="44" spans="1:15" customHeight="1" ht="15.6" s="9" customFormat="1">
      <c r="B44" s="28" t="s">
        <v>662</v>
      </c>
      <c r="F44" s="533">
        <v>25000</v>
      </c>
      <c r="G44" s="238"/>
      <c r="H44" s="1056"/>
      <c r="I44" s="645"/>
      <c r="J44" s="614"/>
      <c r="K44" s="645"/>
      <c r="L44" s="615"/>
      <c r="M44" s="548"/>
    </row>
    <row r="45" spans="1:15" customHeight="1" ht="15.6" s="9" customFormat="1">
      <c r="B45" s="28" t="s">
        <v>663</v>
      </c>
      <c r="F45" s="557">
        <v>25000</v>
      </c>
      <c r="G45" s="238"/>
      <c r="H45" s="1056"/>
      <c r="I45" s="645"/>
      <c r="J45" s="614"/>
      <c r="K45" s="645"/>
      <c r="L45" s="615"/>
      <c r="M45" s="548"/>
    </row>
    <row r="46" spans="1:15" customHeight="1" ht="15.6" s="9" customFormat="1">
      <c r="B46" s="9" t="s">
        <v>235</v>
      </c>
      <c r="F46" s="533"/>
      <c r="G46" s="238" t="s">
        <v>80</v>
      </c>
      <c r="H46" s="538">
        <v>3271916.01</v>
      </c>
      <c r="I46" s="537">
        <f>9360+373386.25+1721986.3</f>
        <v>2104732.55</v>
      </c>
      <c r="J46" s="529">
        <f>K46-I46</f>
        <v>2345267.45</v>
      </c>
      <c r="K46" s="537">
        <f>200000+750000+3500000</f>
        <v>4450000</v>
      </c>
      <c r="L46" s="533">
        <f>SUM(F47:F49)</f>
        <v>4450000</v>
      </c>
      <c r="M46" s="548"/>
    </row>
    <row r="47" spans="1:15" customHeight="1" ht="15.6" s="9" customFormat="1">
      <c r="B47" s="28" t="s">
        <v>65</v>
      </c>
      <c r="F47" s="533">
        <v>200000</v>
      </c>
      <c r="G47" s="238"/>
      <c r="H47" s="1056"/>
      <c r="I47" s="645"/>
      <c r="J47" s="614"/>
      <c r="K47" s="645"/>
      <c r="L47" s="615"/>
      <c r="M47" s="548"/>
    </row>
    <row r="48" spans="1:15" customHeight="1" ht="15.6" s="9" customFormat="1">
      <c r="B48" s="28" t="s">
        <v>662</v>
      </c>
      <c r="F48" s="533">
        <v>750000</v>
      </c>
      <c r="G48" s="238"/>
      <c r="H48" s="1056"/>
      <c r="I48" s="645"/>
      <c r="J48" s="614"/>
      <c r="K48" s="645"/>
      <c r="L48" s="615"/>
      <c r="M48" s="548"/>
    </row>
    <row r="49" spans="1:15" customHeight="1" ht="15.6" s="9" customFormat="1">
      <c r="B49" s="28" t="s">
        <v>663</v>
      </c>
      <c r="F49" s="557">
        <v>3500000</v>
      </c>
      <c r="G49" s="238"/>
      <c r="H49" s="1056"/>
      <c r="I49" s="645"/>
      <c r="J49" s="614"/>
      <c r="K49" s="645"/>
      <c r="L49" s="615"/>
      <c r="M49" s="548"/>
    </row>
    <row r="50" spans="1:15" customHeight="1" ht="15.6" s="9" customFormat="1">
      <c r="B50" s="9" t="s">
        <v>81</v>
      </c>
      <c r="F50" s="533"/>
      <c r="G50" s="238" t="s">
        <v>82</v>
      </c>
      <c r="H50" s="538">
        <v>447000.38</v>
      </c>
      <c r="I50" s="537">
        <f>40000+279845.05+24600+33700+0</f>
        <v>378145.05</v>
      </c>
      <c r="J50" s="529">
        <f>K50-I50</f>
        <v>1196854.95</v>
      </c>
      <c r="K50" s="537">
        <f>200000+700000+125000+400000+150000</f>
        <v>1575000</v>
      </c>
      <c r="L50" s="533">
        <f>SUM(F51:F55)</f>
        <v>1100000</v>
      </c>
      <c r="M50" s="548"/>
    </row>
    <row r="51" spans="1:15" customHeight="1" ht="15.6" s="9" customFormat="1">
      <c r="B51" s="28" t="s">
        <v>65</v>
      </c>
      <c r="F51" s="533">
        <v>100000</v>
      </c>
      <c r="G51" s="238"/>
      <c r="H51" s="1056"/>
      <c r="I51" s="645"/>
      <c r="J51" s="614"/>
      <c r="K51" s="645"/>
      <c r="L51" s="615"/>
      <c r="M51" s="548"/>
    </row>
    <row r="52" spans="1:15" customHeight="1" ht="15.6" s="9" customFormat="1">
      <c r="B52" s="28" t="s">
        <v>662</v>
      </c>
      <c r="F52" s="533">
        <v>500000</v>
      </c>
      <c r="G52" s="238"/>
      <c r="H52" s="1056"/>
      <c r="I52" s="645"/>
      <c r="J52" s="614"/>
      <c r="K52" s="645"/>
      <c r="L52" s="615"/>
      <c r="M52" s="548"/>
    </row>
    <row r="53" spans="1:15" customHeight="1" ht="15.6" s="9" customFormat="1">
      <c r="B53" s="28" t="s">
        <v>664</v>
      </c>
      <c r="F53" s="533">
        <v>100000</v>
      </c>
      <c r="G53" s="238"/>
      <c r="H53" s="1056"/>
      <c r="I53" s="645"/>
      <c r="J53" s="614"/>
      <c r="K53" s="645"/>
      <c r="L53" s="615"/>
      <c r="M53" s="548"/>
    </row>
    <row r="54" spans="1:15" customHeight="1" ht="15.6" s="9" customFormat="1">
      <c r="B54" s="28" t="s">
        <v>663</v>
      </c>
      <c r="F54" s="533">
        <v>300000</v>
      </c>
      <c r="G54" s="238"/>
      <c r="H54" s="1056"/>
      <c r="I54" s="645"/>
      <c r="J54" s="614"/>
      <c r="K54" s="645"/>
      <c r="L54" s="615"/>
      <c r="M54" s="548"/>
    </row>
    <row r="55" spans="1:15" customHeight="1" ht="15.6" s="9" customFormat="1">
      <c r="B55" s="28" t="s">
        <v>665</v>
      </c>
      <c r="F55" s="557">
        <v>100000</v>
      </c>
      <c r="G55" s="238"/>
      <c r="H55" s="1056"/>
      <c r="I55" s="645"/>
      <c r="J55" s="614"/>
      <c r="K55" s="645"/>
      <c r="L55" s="615"/>
      <c r="M55" s="548"/>
    </row>
    <row r="56" spans="1:15" customHeight="1" ht="15.6" s="9" customFormat="1">
      <c r="B56" s="9" t="s">
        <v>263</v>
      </c>
      <c r="F56" s="533"/>
      <c r="G56" s="238" t="s">
        <v>96</v>
      </c>
      <c r="H56" s="538">
        <v>23213.63</v>
      </c>
      <c r="I56" s="537">
        <f>3524.49+0</f>
        <v>3524.49</v>
      </c>
      <c r="J56" s="529">
        <f>K56-I56</f>
        <v>53475.51</v>
      </c>
      <c r="K56" s="537">
        <f>15000+42000</f>
        <v>57000</v>
      </c>
      <c r="L56" s="533">
        <f>SUM(F57:F58)</f>
        <v>57000</v>
      </c>
      <c r="M56" s="548"/>
    </row>
    <row r="57" spans="1:15" customHeight="1" ht="15.6" s="9" customFormat="1">
      <c r="B57" s="28" t="s">
        <v>65</v>
      </c>
      <c r="F57" s="533">
        <v>15000</v>
      </c>
      <c r="G57" s="238"/>
      <c r="H57" s="1056"/>
      <c r="I57" s="645"/>
      <c r="J57" s="614"/>
      <c r="K57" s="645"/>
      <c r="L57" s="615"/>
      <c r="M57" s="548"/>
    </row>
    <row r="58" spans="1:15" customHeight="1" ht="15.6" s="9" customFormat="1">
      <c r="B58" s="28" t="s">
        <v>663</v>
      </c>
      <c r="F58" s="557">
        <v>42000</v>
      </c>
      <c r="G58" s="238"/>
      <c r="H58" s="1138">
        <v>0</v>
      </c>
      <c r="I58" s="784">
        <v>0</v>
      </c>
      <c r="J58" s="1139">
        <v>0</v>
      </c>
      <c r="K58" s="784">
        <v>0</v>
      </c>
      <c r="L58" s="591">
        <v>0</v>
      </c>
      <c r="M58" s="548"/>
    </row>
    <row r="59" spans="1:15" customHeight="1" ht="15.6" s="6" customFormat="1">
      <c r="A59" s="1140" t="s">
        <v>75</v>
      </c>
      <c r="B59" s="1140"/>
      <c r="C59" s="1140"/>
      <c r="D59" s="1140"/>
      <c r="E59" s="1140"/>
      <c r="F59" s="1141"/>
      <c r="G59" s="545"/>
      <c r="H59" s="1142">
        <f>SUM(H39:H58)</f>
        <v>3964048.02</v>
      </c>
      <c r="I59" s="1142">
        <f>SUM(I39:I58)</f>
        <v>2486402.09</v>
      </c>
      <c r="J59" s="1142">
        <f>SUM(J39:J58)</f>
        <v>4170597.91</v>
      </c>
      <c r="K59" s="1142">
        <f>SUM(K39:K58)</f>
        <v>6657000</v>
      </c>
      <c r="L59" s="1142">
        <f>SUM(L39:L58)</f>
        <v>6007000</v>
      </c>
      <c r="M59" s="775"/>
    </row>
    <row r="60" spans="1:15" customHeight="1" ht="9" s="9" customFormat="1">
      <c r="F60" s="664"/>
      <c r="G60" s="238"/>
      <c r="H60" s="538"/>
      <c r="I60" s="537"/>
      <c r="J60" s="617"/>
      <c r="K60" s="537"/>
      <c r="L60" s="533"/>
      <c r="M60" s="548"/>
    </row>
    <row r="61" spans="1:15" customHeight="1" ht="15.95" s="917" customFormat="1">
      <c r="A61" s="1130" t="s">
        <v>292</v>
      </c>
      <c r="B61" s="731"/>
      <c r="C61" s="731"/>
      <c r="D61" s="731"/>
      <c r="E61" s="731"/>
      <c r="F61" s="1131"/>
      <c r="G61" s="1132"/>
      <c r="H61" s="1133"/>
      <c r="I61" s="1134"/>
      <c r="J61" s="1135"/>
      <c r="K61" s="1136"/>
      <c r="M61" s="1137"/>
    </row>
    <row r="62" spans="1:15" customHeight="1" ht="15.6" s="9" customFormat="1">
      <c r="B62" s="9" t="s">
        <v>97</v>
      </c>
      <c r="F62" s="533"/>
      <c r="G62" s="238" t="s">
        <v>98</v>
      </c>
      <c r="H62" s="538">
        <v>22770.54</v>
      </c>
      <c r="I62" s="537">
        <v>6076.07</v>
      </c>
      <c r="J62" s="529">
        <f>K62-I62</f>
        <v>28923.93</v>
      </c>
      <c r="K62" s="537">
        <v>35000</v>
      </c>
      <c r="L62" s="533">
        <v>35000</v>
      </c>
      <c r="M62" s="548"/>
    </row>
    <row r="63" spans="1:15" customHeight="1" ht="15.6" s="9" customFormat="1">
      <c r="B63" s="9" t="s">
        <v>666</v>
      </c>
      <c r="F63" s="533"/>
      <c r="G63" s="213" t="s">
        <v>100</v>
      </c>
      <c r="H63" s="538">
        <v>0</v>
      </c>
      <c r="I63" s="537">
        <f>0+0</f>
        <v>0</v>
      </c>
      <c r="J63" s="529">
        <f>K63-I63</f>
        <v>425000</v>
      </c>
      <c r="K63" s="537">
        <f>125000+300000</f>
        <v>425000</v>
      </c>
      <c r="L63" s="533">
        <f>SUM(F64:F65)</f>
        <v>250000</v>
      </c>
      <c r="M63" s="548"/>
    </row>
    <row r="64" spans="1:15" customHeight="1" ht="15.6" s="9" customFormat="1">
      <c r="B64" s="28" t="s">
        <v>65</v>
      </c>
      <c r="F64" s="533">
        <v>100000</v>
      </c>
      <c r="G64" s="238"/>
      <c r="H64" s="1056"/>
      <c r="I64" s="645"/>
      <c r="J64" s="614"/>
      <c r="K64" s="645"/>
      <c r="L64" s="615"/>
      <c r="M64" s="548"/>
    </row>
    <row r="65" spans="1:15" customHeight="1" ht="15.6" s="9" customFormat="1">
      <c r="B65" s="28" t="s">
        <v>662</v>
      </c>
      <c r="F65" s="557">
        <v>150000</v>
      </c>
      <c r="G65" s="238"/>
      <c r="H65" s="1056"/>
      <c r="I65" s="645"/>
      <c r="J65" s="614"/>
      <c r="K65" s="645"/>
      <c r="L65" s="615"/>
      <c r="M65" s="548"/>
    </row>
    <row r="66" spans="1:15" customHeight="1" ht="15.6" s="9" customFormat="1">
      <c r="B66" s="9" t="s">
        <v>264</v>
      </c>
      <c r="F66" s="533"/>
      <c r="G66" s="238" t="s">
        <v>102</v>
      </c>
      <c r="H66" s="538">
        <v>1104902</v>
      </c>
      <c r="I66" s="537">
        <f>9365+19155+827584</f>
        <v>856104</v>
      </c>
      <c r="J66" s="529">
        <f>K66-I66</f>
        <v>2443896</v>
      </c>
      <c r="K66" s="537">
        <f>300000+500000+2500000</f>
        <v>3300000</v>
      </c>
      <c r="L66" s="533">
        <f>SUM(F67:F69)</f>
        <v>2550000</v>
      </c>
      <c r="M66" s="548"/>
    </row>
    <row r="67" spans="1:15" customHeight="1" ht="15.6" s="9" customFormat="1">
      <c r="B67" s="28" t="s">
        <v>65</v>
      </c>
      <c r="F67" s="533">
        <v>200000</v>
      </c>
      <c r="G67" s="238"/>
      <c r="H67" s="1056"/>
      <c r="I67" s="645"/>
      <c r="J67" s="614"/>
      <c r="K67" s="645"/>
      <c r="L67" s="615"/>
      <c r="M67" s="548"/>
    </row>
    <row r="68" spans="1:15" customHeight="1" ht="15.6" s="9" customFormat="1">
      <c r="B68" s="28" t="s">
        <v>662</v>
      </c>
      <c r="F68" s="533">
        <v>350000</v>
      </c>
      <c r="G68" s="238"/>
      <c r="H68" s="1056"/>
      <c r="I68" s="645"/>
      <c r="J68" s="614"/>
      <c r="K68" s="645"/>
      <c r="L68" s="615"/>
      <c r="M68" s="548"/>
    </row>
    <row r="69" spans="1:15" customHeight="1" ht="15.6" s="9" customFormat="1">
      <c r="B69" s="28" t="s">
        <v>663</v>
      </c>
      <c r="F69" s="557">
        <v>2000000</v>
      </c>
      <c r="G69" s="238"/>
      <c r="H69" s="1138"/>
      <c r="I69" s="784"/>
      <c r="J69" s="1139"/>
      <c r="K69" s="784"/>
      <c r="L69" s="591"/>
      <c r="M69" s="548"/>
    </row>
    <row r="70" spans="1:15" customHeight="1" ht="18" s="9" customFormat="1">
      <c r="B70" s="9" t="s">
        <v>323</v>
      </c>
      <c r="F70" s="664"/>
      <c r="G70" s="213" t="s">
        <v>123</v>
      </c>
      <c r="H70" s="1143">
        <v>26569.66</v>
      </c>
      <c r="I70" s="1144">
        <v>21108.42</v>
      </c>
      <c r="J70" s="529">
        <f>K70-I70</f>
        <v>58891.58</v>
      </c>
      <c r="K70" s="537">
        <v>80000</v>
      </c>
      <c r="L70" s="533">
        <v>80000</v>
      </c>
      <c r="M70" s="548"/>
    </row>
    <row r="71" spans="1:15" customHeight="1" ht="18" s="9" customFormat="1">
      <c r="B71" s="9" t="s">
        <v>124</v>
      </c>
      <c r="F71" s="664"/>
      <c r="G71" s="238" t="s">
        <v>125</v>
      </c>
      <c r="H71" s="538">
        <v>0</v>
      </c>
      <c r="I71" s="537">
        <v>0</v>
      </c>
      <c r="J71" s="529">
        <f>K71-I71</f>
        <v>10000</v>
      </c>
      <c r="K71" s="537">
        <v>10000</v>
      </c>
      <c r="L71" s="533">
        <v>10000</v>
      </c>
      <c r="M71" s="548"/>
    </row>
    <row r="72" spans="1:15" customHeight="1" ht="18" s="9" customFormat="1">
      <c r="B72" s="9" t="s">
        <v>667</v>
      </c>
      <c r="F72" s="664"/>
      <c r="G72" s="238" t="s">
        <v>242</v>
      </c>
      <c r="H72" s="538">
        <v>0</v>
      </c>
      <c r="I72" s="537">
        <v>0</v>
      </c>
      <c r="J72" s="529">
        <f>K72-I72</f>
        <v>75000</v>
      </c>
      <c r="K72" s="537">
        <v>75000</v>
      </c>
      <c r="L72" s="533">
        <v>75000</v>
      </c>
      <c r="M72" s="548"/>
    </row>
    <row r="73" spans="1:15" customHeight="1" ht="18" s="9" customFormat="1">
      <c r="B73" s="9" t="s">
        <v>142</v>
      </c>
      <c r="F73" s="664"/>
      <c r="G73" s="213" t="s">
        <v>143</v>
      </c>
      <c r="H73" s="538">
        <v>346698.25</v>
      </c>
      <c r="I73" s="537">
        <f>17629.81+0+0+0+0</f>
        <v>17629.81</v>
      </c>
      <c r="J73" s="529">
        <f>K73-I73</f>
        <v>982370.19</v>
      </c>
      <c r="K73" s="537">
        <f>250000+150000+150000+300000+150000</f>
        <v>1000000</v>
      </c>
      <c r="L73" s="533">
        <f>SUM(F74:F78)</f>
        <v>600000</v>
      </c>
      <c r="M73" s="548"/>
    </row>
    <row r="74" spans="1:15" customHeight="1" ht="18" s="9" customFormat="1">
      <c r="B74" s="28" t="s">
        <v>65</v>
      </c>
      <c r="F74" s="533">
        <v>150000</v>
      </c>
      <c r="G74" s="238"/>
      <c r="H74" s="1056"/>
      <c r="I74" s="645"/>
      <c r="J74" s="614"/>
      <c r="K74" s="645"/>
      <c r="L74" s="615"/>
      <c r="M74" s="548"/>
    </row>
    <row r="75" spans="1:15" customHeight="1" ht="18" s="9" customFormat="1">
      <c r="B75" s="28" t="s">
        <v>662</v>
      </c>
      <c r="F75" s="533">
        <v>100000</v>
      </c>
      <c r="G75" s="238"/>
      <c r="H75" s="1056"/>
      <c r="I75" s="645"/>
      <c r="J75" s="614"/>
      <c r="K75" s="645"/>
      <c r="L75" s="615"/>
      <c r="M75" s="548"/>
    </row>
    <row r="76" spans="1:15" customHeight="1" ht="18" s="9" customFormat="1">
      <c r="B76" s="28" t="s">
        <v>664</v>
      </c>
      <c r="F76" s="533">
        <v>100000</v>
      </c>
      <c r="G76" s="238"/>
      <c r="H76" s="1056"/>
      <c r="I76" s="645"/>
      <c r="J76" s="614"/>
      <c r="K76" s="645"/>
      <c r="L76" s="615"/>
      <c r="M76" s="548"/>
    </row>
    <row r="77" spans="1:15" customHeight="1" ht="18" s="9" customFormat="1">
      <c r="B77" s="28" t="s">
        <v>663</v>
      </c>
      <c r="F77" s="533">
        <v>150000</v>
      </c>
      <c r="G77" s="238"/>
      <c r="H77" s="1056"/>
      <c r="I77" s="645"/>
      <c r="J77" s="614"/>
      <c r="K77" s="645"/>
      <c r="L77" s="615"/>
      <c r="M77" s="548"/>
    </row>
    <row r="78" spans="1:15" customHeight="1" ht="18" s="9" customFormat="1">
      <c r="B78" s="28" t="s">
        <v>665</v>
      </c>
      <c r="F78" s="557">
        <v>100000</v>
      </c>
      <c r="G78" s="238"/>
      <c r="H78" s="1138">
        <v>0</v>
      </c>
      <c r="I78" s="784">
        <v>0</v>
      </c>
      <c r="J78" s="1139">
        <v>0</v>
      </c>
      <c r="K78" s="784">
        <v>0</v>
      </c>
      <c r="L78" s="591">
        <v>0</v>
      </c>
      <c r="M78" s="548"/>
    </row>
    <row r="79" spans="1:15" customHeight="1" ht="18" s="6" customFormat="1">
      <c r="A79" s="1140" t="s">
        <v>75</v>
      </c>
      <c r="B79" s="1140"/>
      <c r="C79" s="1140"/>
      <c r="D79" s="1140"/>
      <c r="E79" s="1140"/>
      <c r="F79" s="1141"/>
      <c r="G79" s="545"/>
      <c r="H79" s="1142">
        <f>SUM(H61:H78)</f>
        <v>1500940.45</v>
      </c>
      <c r="I79" s="1142">
        <f>SUM(I61:I78)</f>
        <v>900918.3</v>
      </c>
      <c r="J79" s="1142">
        <f>SUM(J61:J78)</f>
        <v>4024081.7</v>
      </c>
      <c r="K79" s="1145">
        <f>SUM(K61:K78)</f>
        <v>4925000</v>
      </c>
      <c r="L79" s="1142">
        <f>SUM(L61:L78)</f>
        <v>3600000</v>
      </c>
      <c r="M79" s="775"/>
    </row>
    <row r="80" spans="1:15" customHeight="1" ht="21.95" s="9" customFormat="1">
      <c r="B80" s="671" t="s">
        <v>150</v>
      </c>
      <c r="G80" s="238" t="s">
        <v>107</v>
      </c>
      <c r="H80" s="538">
        <v>851815.02</v>
      </c>
      <c r="I80" s="537">
        <v>287145.42</v>
      </c>
      <c r="J80" s="529">
        <f>K80-I80</f>
        <v>504854.58</v>
      </c>
      <c r="K80" s="537">
        <v>792000</v>
      </c>
      <c r="L80" s="533">
        <f>SUM(F81:F81)</f>
        <v>650000</v>
      </c>
      <c r="M80" s="548"/>
      <c r="N80" s="66"/>
      <c r="O80" s="66"/>
    </row>
    <row r="81" spans="1:15" customHeight="1" ht="21.95" s="9" customFormat="1">
      <c r="B81" s="28" t="s">
        <v>668</v>
      </c>
      <c r="F81" s="557">
        <v>650000</v>
      </c>
      <c r="G81" s="238"/>
      <c r="H81" s="538"/>
      <c r="I81" s="537"/>
      <c r="J81" s="617"/>
      <c r="K81" s="537"/>
      <c r="L81" s="533"/>
      <c r="M81" s="548"/>
    </row>
    <row r="82" spans="1:15" customHeight="1" ht="21.95" s="9" customFormat="1">
      <c r="B82" s="671" t="s">
        <v>353</v>
      </c>
      <c r="F82" s="533"/>
      <c r="G82" s="238" t="s">
        <v>157</v>
      </c>
      <c r="H82" s="538">
        <f>1487500+944200</f>
        <v>2431700</v>
      </c>
      <c r="I82" s="537">
        <f>479300+248432.5</f>
        <v>727732.5</v>
      </c>
      <c r="J82" s="529">
        <f>K82-I82</f>
        <v>1608267.5</v>
      </c>
      <c r="K82" s="537">
        <f>1387000+949000</f>
        <v>2336000</v>
      </c>
      <c r="L82" s="533">
        <f>SUM(F83:F84)</f>
        <v>1650000</v>
      </c>
      <c r="M82" s="548"/>
    </row>
    <row r="83" spans="1:15" customHeight="1" ht="21.95" s="9" customFormat="1">
      <c r="B83" s="28" t="s">
        <v>669</v>
      </c>
      <c r="F83" s="533">
        <v>1000000</v>
      </c>
      <c r="G83" s="238"/>
      <c r="H83" s="538"/>
      <c r="I83" s="537"/>
      <c r="J83" s="617"/>
      <c r="K83" s="537"/>
      <c r="L83" s="533"/>
      <c r="M83" s="548"/>
    </row>
    <row r="84" spans="1:15" customHeight="1" ht="21.95" s="9" customFormat="1">
      <c r="B84" s="28" t="s">
        <v>670</v>
      </c>
      <c r="F84" s="557">
        <v>650000</v>
      </c>
      <c r="G84" s="238"/>
      <c r="H84" s="538"/>
      <c r="I84" s="537"/>
      <c r="J84" s="617"/>
      <c r="K84" s="537"/>
      <c r="L84" s="533"/>
      <c r="M84" s="548"/>
    </row>
    <row r="85" spans="1:15" customHeight="1" ht="21.95" s="9" customFormat="1">
      <c r="B85" s="5" t="s">
        <v>671</v>
      </c>
      <c r="F85" s="533"/>
      <c r="G85" s="238" t="s">
        <v>672</v>
      </c>
      <c r="H85" s="538">
        <f>10422472.5+4294025.86</f>
        <v>14716498.36</v>
      </c>
      <c r="I85" s="537">
        <f>3518220+1484108.73</f>
        <v>5002328.73</v>
      </c>
      <c r="J85" s="529">
        <f>K85-I85</f>
        <v>7897671.27</v>
      </c>
      <c r="K85" s="537">
        <f>9200000+3700000</f>
        <v>12900000</v>
      </c>
      <c r="L85" s="533">
        <f>SUM(F86:F87)</f>
        <v>10500000</v>
      </c>
      <c r="M85" s="548"/>
    </row>
    <row r="86" spans="1:15" customHeight="1" ht="21.95" s="9" customFormat="1">
      <c r="B86" s="28" t="s">
        <v>673</v>
      </c>
      <c r="F86" s="533">
        <v>7500000</v>
      </c>
      <c r="G86" s="238"/>
      <c r="H86" s="538"/>
      <c r="I86" s="537"/>
      <c r="J86" s="617"/>
      <c r="K86" s="537"/>
      <c r="L86" s="533"/>
      <c r="M86" s="548"/>
    </row>
    <row r="87" spans="1:15" customHeight="1" ht="21.95" s="9" customFormat="1">
      <c r="B87" s="28" t="s">
        <v>674</v>
      </c>
      <c r="F87" s="557">
        <v>3000000</v>
      </c>
      <c r="G87" s="238"/>
      <c r="H87" s="542">
        <v>0</v>
      </c>
      <c r="I87" s="541">
        <v>0</v>
      </c>
      <c r="J87" s="620">
        <v>0</v>
      </c>
      <c r="K87" s="541">
        <v>0</v>
      </c>
      <c r="L87" s="557">
        <v>0</v>
      </c>
      <c r="M87" s="548"/>
      <c r="N87" s="66"/>
    </row>
    <row r="88" spans="1:15" customHeight="1" ht="21.95" s="6" customFormat="1">
      <c r="A88" s="565" t="s">
        <v>75</v>
      </c>
      <c r="B88" s="565"/>
      <c r="C88" s="565"/>
      <c r="D88" s="565"/>
      <c r="E88" s="565"/>
      <c r="F88" s="1146"/>
      <c r="G88" s="243"/>
      <c r="H88" s="579">
        <f>SUM(H80:H87)</f>
        <v>18000013.38</v>
      </c>
      <c r="I88" s="579">
        <f>SUM(I80:I87)</f>
        <v>6017206.65</v>
      </c>
      <c r="J88" s="579">
        <f>SUM(J80:J87)</f>
        <v>10010793.35</v>
      </c>
      <c r="K88" s="579">
        <f>SUM(K80:K87)</f>
        <v>16028000</v>
      </c>
      <c r="L88" s="579">
        <f>SUM(L80:L87)</f>
        <v>12800000</v>
      </c>
      <c r="M88" s="775"/>
    </row>
    <row r="89" spans="1:15" customHeight="1" ht="21.95" s="6" customFormat="1">
      <c r="A89" s="565" t="s">
        <v>160</v>
      </c>
      <c r="B89" s="565"/>
      <c r="C89" s="565"/>
      <c r="D89" s="565"/>
      <c r="E89" s="565"/>
      <c r="F89" s="1146"/>
      <c r="G89" s="243"/>
      <c r="H89" s="579">
        <f>H88+H79+H59</f>
        <v>23465001.85</v>
      </c>
      <c r="I89" s="579">
        <f>I88+I79+I59</f>
        <v>9404527.04</v>
      </c>
      <c r="J89" s="579">
        <f>J88+J79+J59</f>
        <v>18205472.96</v>
      </c>
      <c r="K89" s="579">
        <f>K88+K79+K59</f>
        <v>27610000</v>
      </c>
      <c r="L89" s="579">
        <f>L88+L79+L59</f>
        <v>22407000</v>
      </c>
      <c r="M89" s="775"/>
    </row>
    <row r="90" spans="1:15" customHeight="1" ht="21.95" s="6" customFormat="1">
      <c r="A90" s="6" t="s">
        <v>161</v>
      </c>
      <c r="B90" s="565"/>
      <c r="C90" s="565"/>
      <c r="D90" s="565"/>
      <c r="E90" s="565"/>
      <c r="F90" s="1146"/>
      <c r="G90" s="243"/>
      <c r="H90" s="579">
        <f>+H89+H37</f>
        <v>38657914.85</v>
      </c>
      <c r="I90" s="579">
        <f>+I89+I37</f>
        <v>16537996.29</v>
      </c>
      <c r="J90" s="579">
        <f>+J89+J37</f>
        <v>31122559.31</v>
      </c>
      <c r="K90" s="579">
        <f>+K89+K37</f>
        <v>47660555.6</v>
      </c>
      <c r="L90" s="579">
        <f>+L89+L37</f>
        <v>43049881.92</v>
      </c>
      <c r="M90" s="775"/>
    </row>
    <row r="91" spans="1:15" customHeight="1" ht="18" s="6" customFormat="1">
      <c r="B91" s="565"/>
      <c r="C91" s="565"/>
      <c r="D91" s="565"/>
      <c r="E91" s="565"/>
      <c r="F91" s="1146"/>
      <c r="G91" s="243"/>
      <c r="H91" s="579"/>
      <c r="I91" s="578"/>
      <c r="J91" s="1147"/>
      <c r="K91" s="578"/>
      <c r="L91" s="1148"/>
      <c r="M91" s="775"/>
    </row>
    <row r="92" spans="1:15" customHeight="1" ht="18" s="6" customFormat="1">
      <c r="B92" s="565"/>
      <c r="C92" s="565"/>
      <c r="D92" s="565"/>
      <c r="E92" s="565"/>
      <c r="F92" s="1146"/>
      <c r="G92" s="243"/>
      <c r="H92" s="579"/>
      <c r="I92" s="578"/>
      <c r="J92" s="1147"/>
      <c r="K92" s="578"/>
      <c r="L92" s="1148"/>
      <c r="M92" s="775"/>
    </row>
    <row r="93" spans="1:15" customHeight="1" ht="18" s="6" customFormat="1">
      <c r="B93" s="565"/>
      <c r="C93" s="565"/>
      <c r="D93" s="565"/>
      <c r="E93" s="565"/>
      <c r="F93" s="1146"/>
      <c r="G93" s="243"/>
      <c r="H93" s="579"/>
      <c r="I93" s="578"/>
      <c r="J93" s="1147"/>
      <c r="K93" s="578"/>
      <c r="L93" s="1148"/>
      <c r="M93" s="775"/>
    </row>
    <row r="94" spans="1:15" customHeight="1" ht="18" s="6" customFormat="1">
      <c r="A94" s="279"/>
      <c r="B94" s="822"/>
      <c r="C94" s="822"/>
      <c r="D94" s="822"/>
      <c r="E94" s="822"/>
      <c r="F94" s="1149"/>
      <c r="G94" s="283"/>
      <c r="H94" s="1150"/>
      <c r="I94" s="1150"/>
      <c r="J94" s="1150"/>
      <c r="K94" s="1150"/>
      <c r="L94" s="1150"/>
      <c r="M94" s="775"/>
    </row>
    <row r="95" spans="1:15" customHeight="1" ht="18" s="6" customFormat="1">
      <c r="B95" s="565"/>
      <c r="C95" s="565"/>
      <c r="D95" s="565"/>
      <c r="E95" s="565"/>
      <c r="F95" s="1146"/>
      <c r="G95" s="705"/>
      <c r="H95" s="1148"/>
      <c r="I95" s="1148"/>
      <c r="J95" s="1148"/>
      <c r="K95" s="1148"/>
      <c r="L95" s="1148"/>
      <c r="M95" s="775"/>
    </row>
    <row r="96" spans="1:15" customHeight="1" ht="18" s="6" customFormat="1">
      <c r="B96" s="565"/>
      <c r="C96" s="565"/>
      <c r="D96" s="565"/>
      <c r="E96" s="565"/>
      <c r="F96" s="1146"/>
      <c r="G96" s="243"/>
      <c r="H96" s="579"/>
      <c r="I96" s="578"/>
      <c r="J96" s="1147"/>
      <c r="K96" s="578"/>
      <c r="L96" s="1148"/>
      <c r="M96" s="775"/>
    </row>
    <row r="97" spans="1:15" customHeight="1" ht="18" s="1016" customFormat="1">
      <c r="A97" s="734" t="s">
        <v>162</v>
      </c>
      <c r="B97" s="15"/>
      <c r="C97" s="15"/>
      <c r="D97" s="15"/>
      <c r="E97" s="15"/>
      <c r="F97" s="1151"/>
      <c r="G97" s="213"/>
      <c r="H97" s="1152"/>
      <c r="I97" s="1153"/>
      <c r="J97" s="1154"/>
      <c r="K97" s="1153"/>
      <c r="L97" s="1155"/>
      <c r="M97" s="1156"/>
    </row>
    <row r="98" spans="1:15" customHeight="1" ht="18" s="1157" customFormat="1">
      <c r="B98" s="5" t="s">
        <v>163</v>
      </c>
      <c r="C98" s="14"/>
      <c r="F98" s="1158"/>
      <c r="G98" s="1159" t="s">
        <v>164</v>
      </c>
      <c r="H98" s="1160"/>
      <c r="I98" s="1161">
        <v>0</v>
      </c>
      <c r="J98" s="529">
        <f>K98-I98</f>
        <v>120000</v>
      </c>
      <c r="K98" s="537">
        <v>120000</v>
      </c>
      <c r="L98" s="1162">
        <v>25000</v>
      </c>
      <c r="M98" s="1163"/>
    </row>
    <row r="99" spans="1:15" customHeight="1" ht="18" s="1157" customFormat="1">
      <c r="B99" s="5" t="s">
        <v>313</v>
      </c>
      <c r="C99" s="1164"/>
      <c r="F99" s="1158"/>
      <c r="G99" s="1159" t="s">
        <v>167</v>
      </c>
      <c r="H99" s="1165"/>
      <c r="I99" s="1166">
        <v>0</v>
      </c>
      <c r="J99" s="556">
        <f>K99-I99</f>
        <v>250000</v>
      </c>
      <c r="K99" s="541">
        <v>250000</v>
      </c>
      <c r="L99" s="557">
        <v>25000</v>
      </c>
      <c r="M99" s="1163"/>
    </row>
    <row r="100" spans="1:15" customHeight="1" ht="18" s="6" customFormat="1">
      <c r="A100" s="6" t="s">
        <v>172</v>
      </c>
      <c r="F100" s="1167"/>
      <c r="G100" s="243"/>
      <c r="H100" s="713">
        <f>SUM(H98:H99)</f>
        <v>0</v>
      </c>
      <c r="I100" s="713">
        <f>SUM(I98:I99)</f>
        <v>0</v>
      </c>
      <c r="J100" s="713">
        <f>SUM(J98:J99)</f>
        <v>370000</v>
      </c>
      <c r="K100" s="713">
        <f>SUM(K98:K99)</f>
        <v>370000</v>
      </c>
      <c r="L100" s="713">
        <f>SUM(L98:L99)</f>
        <v>50000</v>
      </c>
      <c r="M100" s="775"/>
    </row>
    <row r="101" spans="1:15" customHeight="1" ht="18" s="6" customFormat="1">
      <c r="F101" s="1167"/>
      <c r="G101" s="243"/>
      <c r="H101" s="713"/>
      <c r="I101" s="627"/>
      <c r="J101" s="628"/>
      <c r="K101" s="627"/>
      <c r="L101" s="629"/>
      <c r="M101" s="775"/>
    </row>
    <row r="102" spans="1:15" customHeight="1" ht="18" s="273" customFormat="1">
      <c r="F102" s="1167"/>
      <c r="G102" s="253"/>
      <c r="H102" s="1168"/>
      <c r="I102" s="1169"/>
      <c r="J102" s="1170"/>
      <c r="K102" s="1169"/>
      <c r="L102" s="767"/>
      <c r="M102" s="775"/>
    </row>
    <row r="103" spans="1:15" customHeight="1" ht="18" s="550" customFormat="1">
      <c r="A103" s="6" t="s">
        <v>252</v>
      </c>
      <c r="B103" s="6"/>
      <c r="C103" s="6"/>
      <c r="D103" s="6"/>
      <c r="E103" s="6"/>
      <c r="F103" s="1129"/>
      <c r="G103" s="243"/>
      <c r="H103" s="658">
        <f>+H100+H90</f>
        <v>38657914.85</v>
      </c>
      <c r="I103" s="658">
        <f>+I100+I90</f>
        <v>16537996.29</v>
      </c>
      <c r="J103" s="658">
        <f>+J100+J90</f>
        <v>31492559.31</v>
      </c>
      <c r="K103" s="658">
        <f>+K100+K90</f>
        <v>48030555.6</v>
      </c>
      <c r="L103" s="658">
        <f>+L100+L90</f>
        <v>43099881.92</v>
      </c>
      <c r="M103" s="1171"/>
    </row>
    <row r="104" spans="1:15" customHeight="1" ht="12.75" s="33" customFormat="1">
      <c r="A104" s="163"/>
      <c r="B104" s="163"/>
      <c r="C104" s="163"/>
      <c r="D104" s="163"/>
      <c r="E104" s="163"/>
      <c r="F104" s="1172"/>
      <c r="G104" s="797"/>
      <c r="H104" s="1173"/>
      <c r="I104" s="797"/>
      <c r="J104" s="1174"/>
      <c r="K104" s="797"/>
      <c r="L104" s="798"/>
      <c r="M104" s="1175"/>
    </row>
    <row r="105" spans="1:15" customHeight="1" ht="18" s="273" customFormat="1">
      <c r="A105" s="6"/>
      <c r="B105" s="6"/>
      <c r="G105" s="508"/>
      <c r="H105" s="508"/>
    </row>
    <row r="106" spans="1:15" customHeight="1" ht="18" s="9" customFormat="1">
      <c r="A106" s="9" t="s">
        <v>182</v>
      </c>
      <c r="I106" s="509"/>
      <c r="J106" s="509"/>
      <c r="K106" s="509"/>
      <c r="L106" s="509"/>
    </row>
    <row r="107" spans="1:15" customHeight="1" ht="18" s="9" customFormat="1">
      <c r="G107" s="510"/>
      <c r="H107" s="510"/>
      <c r="I107" s="510"/>
      <c r="J107" s="510"/>
      <c r="K107" s="510"/>
      <c r="L107" s="510"/>
    </row>
    <row r="108" spans="1:15" customHeight="1" ht="18" s="9" customFormat="1">
      <c r="A108" s="1493" t="s">
        <v>183</v>
      </c>
      <c r="B108" s="1493"/>
      <c r="C108" s="1493"/>
      <c r="D108" s="511"/>
      <c r="E108" s="511"/>
      <c r="F108" s="512" t="s">
        <v>184</v>
      </c>
      <c r="G108" s="509"/>
      <c r="H108" s="509"/>
      <c r="I108" s="509"/>
      <c r="J108" s="510" t="s">
        <v>185</v>
      </c>
      <c r="K108" s="1494"/>
      <c r="L108" s="1494"/>
    </row>
    <row r="109" spans="1:15" customHeight="1" ht="18" s="9" customFormat="1"/>
    <row r="110" spans="1:15" customHeight="1" ht="18" s="9" customFormat="1"/>
    <row r="111" spans="1:15" customHeight="1" ht="18" s="11" customFormat="1">
      <c r="A111" s="1489" t="s">
        <v>675</v>
      </c>
      <c r="B111" s="1489"/>
      <c r="C111" s="1489"/>
      <c r="D111" s="1489"/>
      <c r="E111" s="1489"/>
      <c r="F111" s="1489" t="s">
        <v>187</v>
      </c>
      <c r="G111" s="1489"/>
      <c r="H111" s="1489"/>
      <c r="I111" s="1489"/>
      <c r="J111" s="1489" t="s">
        <v>186</v>
      </c>
      <c r="K111" s="1489"/>
      <c r="L111" s="1489"/>
    </row>
    <row r="112" spans="1:15" customHeight="1" ht="12" s="11" customFormat="1">
      <c r="A112" s="1468" t="s">
        <v>676</v>
      </c>
      <c r="B112" s="1468"/>
      <c r="C112" s="1468"/>
      <c r="D112" s="1468"/>
      <c r="E112" s="1468"/>
      <c r="F112" s="1468" t="s">
        <v>189</v>
      </c>
      <c r="G112" s="1468"/>
      <c r="H112" s="1468"/>
      <c r="I112" s="1468"/>
      <c r="J112" s="1468" t="s">
        <v>188</v>
      </c>
      <c r="K112" s="1468"/>
      <c r="L112" s="1468"/>
    </row>
    <row r="113" spans="1:15" customHeight="1" ht="12" s="9" customFormat="1">
      <c r="A113" s="1468" t="s">
        <v>677</v>
      </c>
      <c r="B113" s="1468"/>
      <c r="C113" s="1468"/>
      <c r="D113" s="1468"/>
      <c r="E113" s="1468"/>
      <c r="F113" s="1468" t="s">
        <v>190</v>
      </c>
      <c r="G113" s="1468"/>
      <c r="H113" s="1468"/>
      <c r="I113" s="1468"/>
      <c r="J113" s="1468"/>
      <c r="K113" s="1468"/>
      <c r="L113" s="1468"/>
    </row>
    <row r="114" spans="1:15" customHeight="1" ht="18" s="9" customFormat="1"/>
    <row r="115" spans="1:15" customHeight="1" ht="16.9" s="9" customFormat="1">
      <c r="A115" s="7"/>
      <c r="G115" s="591"/>
      <c r="H115" s="591"/>
      <c r="I115" s="591"/>
      <c r="J115" s="591"/>
      <c r="L115" s="533"/>
    </row>
    <row r="116" spans="1:15" customHeight="1" ht="18.6" s="9" customFormat="1">
      <c r="A116" s="7"/>
      <c r="F116" s="664"/>
      <c r="G116" s="591"/>
      <c r="H116" s="591"/>
      <c r="I116" s="591"/>
      <c r="J116" s="591"/>
      <c r="K116" s="591"/>
      <c r="L116" s="591"/>
      <c r="M116" s="548"/>
    </row>
    <row r="117" spans="1:15" customHeight="1" ht="18.6">
      <c r="A117" s="7"/>
      <c r="B117" s="7"/>
      <c r="C117" s="7"/>
      <c r="D117" s="7"/>
      <c r="E117" s="7"/>
      <c r="F117" s="664"/>
      <c r="G117" s="320"/>
      <c r="H117" s="591"/>
      <c r="I117" s="591"/>
      <c r="J117" s="591"/>
      <c r="K117" s="754"/>
      <c r="M117" s="59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2:E112"/>
    <mergeCell ref="F112:I112"/>
    <mergeCell ref="J112:L112"/>
    <mergeCell ref="A113:E113"/>
    <mergeCell ref="F113:I113"/>
    <mergeCell ref="J113:L113"/>
    <mergeCell ref="A15:F15"/>
    <mergeCell ref="A108:C108"/>
    <mergeCell ref="K108:L108"/>
    <mergeCell ref="A111:E111"/>
    <mergeCell ref="F111:I111"/>
    <mergeCell ref="J111:L111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27"/>
  <sheetViews>
    <sheetView tabSelected="0" workbookViewId="0" zoomScale="120" view="pageBreakPreview" showGridLines="false" showRowColHeaders="1">
      <selection activeCell="F128" sqref="F128"/>
    </sheetView>
  </sheetViews>
  <sheetFormatPr defaultRowHeight="14.4" outlineLevelRow="0" outlineLevelCol="0"/>
  <cols>
    <col min="1" max="1" width="3.5703125" customWidth="true" style="0"/>
    <col min="2" max="2" width="3.5703125" customWidth="true" style="0"/>
    <col min="3" max="3" width="8.140625" customWidth="true" style="0"/>
    <col min="4" max="4" width="17" customWidth="true" style="0"/>
    <col min="5" max="5" width="12.7109375" customWidth="true" style="0"/>
    <col min="6" max="6" width="11.85546875" customWidth="true" style="0"/>
    <col min="7" max="7" width="12.7109375" customWidth="true" style="0"/>
    <col min="8" max="8" width="16.7109375" customWidth="true" style="0"/>
    <col min="9" max="9" width="16.7109375" customWidth="true" style="0"/>
    <col min="10" max="10" width="16.7109375" customWidth="true" style="0"/>
    <col min="11" max="11" width="16.7109375" customWidth="true" style="0"/>
    <col min="12" max="12" width="16.7109375" customWidth="true" style="818"/>
  </cols>
  <sheetData>
    <row r="1" spans="1:21" customHeight="1" ht="9.95" s="173" customFormat="1">
      <c r="A1" s="173" t="s">
        <v>0</v>
      </c>
      <c r="J1" s="174"/>
      <c r="L1" s="175"/>
    </row>
    <row r="2" spans="1:21" customHeight="1" ht="9.95" s="173" customFormat="1">
      <c r="A2" s="173" t="s">
        <v>1</v>
      </c>
      <c r="J2" s="174"/>
      <c r="L2" s="175"/>
    </row>
    <row r="3" spans="1:21" customHeight="1" ht="9.95" s="173" customFormat="1">
      <c r="A3" s="173" t="s">
        <v>2</v>
      </c>
      <c r="J3" s="174"/>
      <c r="L3" s="175"/>
    </row>
    <row r="4" spans="1:21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21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21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21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21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678</v>
      </c>
    </row>
    <row r="9" spans="1:21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21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21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21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21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21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21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21" customHeight="1" ht="20.25" s="1179" customFormat="1">
      <c r="A16" s="696" t="s">
        <v>24</v>
      </c>
      <c r="B16" s="696"/>
      <c r="C16" s="696"/>
      <c r="D16" s="696"/>
      <c r="E16" s="696"/>
      <c r="F16" s="15"/>
      <c r="G16" s="697"/>
      <c r="H16" s="698"/>
      <c r="I16" s="698"/>
      <c r="J16" s="698"/>
      <c r="K16" s="699"/>
      <c r="L16" s="1178"/>
    </row>
    <row r="17" spans="1:21" customHeight="1" ht="20.25" s="1179" customFormat="1">
      <c r="A17" s="70" t="s">
        <v>316</v>
      </c>
      <c r="B17" s="1180"/>
      <c r="C17" s="1180"/>
      <c r="D17" s="1180"/>
      <c r="E17" s="1180"/>
      <c r="F17" s="15"/>
      <c r="G17" s="702"/>
      <c r="H17" s="703"/>
      <c r="I17" s="703"/>
      <c r="J17" s="703"/>
      <c r="K17" s="699"/>
      <c r="L17" s="1178"/>
    </row>
    <row r="18" spans="1:21" customHeight="1" ht="18" s="9" customFormat="1">
      <c r="B18" s="9" t="s">
        <v>679</v>
      </c>
      <c r="G18" s="213" t="s">
        <v>27</v>
      </c>
      <c r="H18" s="771">
        <v>7791433.77</v>
      </c>
      <c r="I18" s="771">
        <v>4283636.54</v>
      </c>
      <c r="J18" s="771">
        <f>K18-I18</f>
        <v>5809167.46</v>
      </c>
      <c r="K18" s="771">
        <v>10092804</v>
      </c>
      <c r="L18" s="772">
        <v>10458072</v>
      </c>
    </row>
    <row r="19" spans="1:21" customHeight="1" ht="18" s="9" customFormat="1">
      <c r="B19" s="9" t="s">
        <v>28</v>
      </c>
      <c r="G19" s="213" t="s">
        <v>29</v>
      </c>
      <c r="H19" s="616">
        <v>726454.54</v>
      </c>
      <c r="I19" s="616">
        <v>360000</v>
      </c>
      <c r="J19" s="616">
        <f>K19-I19</f>
        <v>480000</v>
      </c>
      <c r="K19" s="616">
        <v>840000</v>
      </c>
      <c r="L19" s="650">
        <v>840000</v>
      </c>
    </row>
    <row r="20" spans="1:21" customHeight="1" ht="18" s="9" customFormat="1">
      <c r="B20" s="9" t="s">
        <v>30</v>
      </c>
      <c r="G20" s="213" t="s">
        <v>31</v>
      </c>
      <c r="H20" s="616">
        <v>135000</v>
      </c>
      <c r="I20" s="616">
        <v>69750</v>
      </c>
      <c r="J20" s="616">
        <f>K20-I20</f>
        <v>65250</v>
      </c>
      <c r="K20" s="616">
        <v>135000</v>
      </c>
      <c r="L20" s="650">
        <v>135000</v>
      </c>
    </row>
    <row r="21" spans="1:21" customHeight="1" ht="18" s="9" customFormat="1">
      <c r="B21" s="9" t="s">
        <v>32</v>
      </c>
      <c r="G21" s="213" t="s">
        <v>33</v>
      </c>
      <c r="H21" s="616">
        <v>135000</v>
      </c>
      <c r="I21" s="616">
        <v>69750</v>
      </c>
      <c r="J21" s="616">
        <f>K21-I21</f>
        <v>65250</v>
      </c>
      <c r="K21" s="616">
        <v>135000</v>
      </c>
      <c r="L21" s="650">
        <v>135000</v>
      </c>
    </row>
    <row r="22" spans="1:21" customHeight="1" ht="18" s="9" customFormat="1">
      <c r="B22" s="9" t="s">
        <v>34</v>
      </c>
      <c r="G22" s="213" t="s">
        <v>35</v>
      </c>
      <c r="H22" s="616">
        <v>186000</v>
      </c>
      <c r="I22" s="616">
        <v>180000</v>
      </c>
      <c r="J22" s="616">
        <f>K22-I22</f>
        <v>30000</v>
      </c>
      <c r="K22" s="616">
        <v>210000</v>
      </c>
      <c r="L22" s="650">
        <v>210000</v>
      </c>
    </row>
    <row r="23" spans="1:21" customHeight="1" ht="18" s="9" customFormat="1">
      <c r="B23" s="9" t="s">
        <v>38</v>
      </c>
      <c r="G23" s="213" t="s">
        <v>39</v>
      </c>
      <c r="H23" s="616">
        <v>646152</v>
      </c>
      <c r="I23" s="616">
        <v>0</v>
      </c>
      <c r="J23" s="616">
        <f>K23-I23</f>
        <v>841067</v>
      </c>
      <c r="K23" s="616">
        <v>841067</v>
      </c>
      <c r="L23" s="650">
        <v>871506</v>
      </c>
    </row>
    <row r="24" spans="1:21" customHeight="1" ht="18" s="9" customFormat="1">
      <c r="B24" s="9" t="s">
        <v>40</v>
      </c>
      <c r="G24" s="213" t="s">
        <v>41</v>
      </c>
      <c r="H24" s="616">
        <v>150000</v>
      </c>
      <c r="I24" s="616">
        <v>0</v>
      </c>
      <c r="J24" s="616">
        <f>K24-I24</f>
        <v>175000</v>
      </c>
      <c r="K24" s="616">
        <v>175000</v>
      </c>
      <c r="L24" s="650">
        <v>175000</v>
      </c>
    </row>
    <row r="25" spans="1:21" customHeight="1" ht="18" s="9" customFormat="1">
      <c r="B25" s="9" t="s">
        <v>42</v>
      </c>
      <c r="C25" s="539"/>
      <c r="D25" s="539"/>
      <c r="E25" s="539"/>
      <c r="F25" s="539"/>
      <c r="G25" s="213" t="s">
        <v>43</v>
      </c>
      <c r="H25" s="616">
        <v>780132</v>
      </c>
      <c r="I25" s="616">
        <v>704110</v>
      </c>
      <c r="J25" s="616">
        <f>K25-I25</f>
        <v>311957</v>
      </c>
      <c r="K25" s="616">
        <v>1016067</v>
      </c>
      <c r="L25" s="650">
        <f>SUM(F26:F27)</f>
        <v>1046506</v>
      </c>
    </row>
    <row r="26" spans="1:21" customHeight="1" ht="18" s="9" customFormat="1">
      <c r="B26" s="29" t="s">
        <v>44</v>
      </c>
      <c r="C26" s="539"/>
      <c r="D26" s="539"/>
      <c r="E26" s="539"/>
      <c r="F26" s="539">
        <f>L23</f>
        <v>871506</v>
      </c>
      <c r="G26" s="213"/>
      <c r="H26" s="616"/>
      <c r="I26" s="616"/>
      <c r="J26" s="616"/>
      <c r="K26" s="616"/>
      <c r="L26" s="650"/>
    </row>
    <row r="27" spans="1:21" customHeight="1" ht="18" s="9" customFormat="1">
      <c r="B27" s="29" t="s">
        <v>45</v>
      </c>
      <c r="C27" s="539"/>
      <c r="D27" s="539"/>
      <c r="E27" s="539"/>
      <c r="F27" s="618">
        <v>175000</v>
      </c>
      <c r="G27" s="213"/>
      <c r="H27" s="616"/>
      <c r="I27" s="616"/>
      <c r="J27" s="616"/>
      <c r="K27" s="616"/>
      <c r="L27" s="650"/>
    </row>
    <row r="28" spans="1:21" customHeight="1" ht="18" s="9" customFormat="1">
      <c r="B28" s="9" t="s">
        <v>46</v>
      </c>
      <c r="G28" s="213" t="s">
        <v>47</v>
      </c>
      <c r="H28" s="616">
        <v>934828.01</v>
      </c>
      <c r="I28" s="616">
        <v>514078.05</v>
      </c>
      <c r="J28" s="616">
        <f>K28-I28</f>
        <v>697058.43</v>
      </c>
      <c r="K28" s="616">
        <v>1211136.48</v>
      </c>
      <c r="L28" s="650">
        <v>1254968.64</v>
      </c>
    </row>
    <row r="29" spans="1:21" customHeight="1" ht="18" s="9" customFormat="1">
      <c r="B29" s="9" t="s">
        <v>48</v>
      </c>
      <c r="G29" s="213" t="s">
        <v>49</v>
      </c>
      <c r="H29" s="616">
        <v>36763.53</v>
      </c>
      <c r="I29" s="616">
        <v>18000</v>
      </c>
      <c r="J29" s="616">
        <f>K29-I29</f>
        <v>24000</v>
      </c>
      <c r="K29" s="616">
        <v>42000</v>
      </c>
      <c r="L29" s="650">
        <v>42000</v>
      </c>
    </row>
    <row r="30" spans="1:21" customHeight="1" ht="18" s="9" customFormat="1">
      <c r="B30" s="9" t="s">
        <v>50</v>
      </c>
      <c r="F30" s="7"/>
      <c r="G30" s="213" t="s">
        <v>51</v>
      </c>
      <c r="H30" s="616">
        <v>112762.07</v>
      </c>
      <c r="I30" s="616">
        <v>58967.94</v>
      </c>
      <c r="J30" s="616">
        <f>K30-I30</f>
        <v>140317.98</v>
      </c>
      <c r="K30" s="616">
        <v>199285.92</v>
      </c>
      <c r="L30" s="650">
        <v>234652.95</v>
      </c>
    </row>
    <row r="31" spans="1:21" customHeight="1" ht="18" s="9" customFormat="1">
      <c r="B31" s="9" t="s">
        <v>52</v>
      </c>
      <c r="G31" s="213" t="s">
        <v>53</v>
      </c>
      <c r="H31" s="616">
        <v>36400</v>
      </c>
      <c r="I31" s="616">
        <v>18000</v>
      </c>
      <c r="J31" s="616">
        <f>K31-I31</f>
        <v>24000</v>
      </c>
      <c r="K31" s="616">
        <v>42000</v>
      </c>
      <c r="L31" s="650">
        <v>42000</v>
      </c>
    </row>
    <row r="32" spans="1:21" customHeight="1" ht="20.25" s="9" customFormat="1">
      <c r="B32" s="9" t="s">
        <v>58</v>
      </c>
      <c r="G32" s="213" t="s">
        <v>59</v>
      </c>
      <c r="H32" s="619">
        <v>748750</v>
      </c>
      <c r="I32" s="619">
        <v>0</v>
      </c>
      <c r="J32" s="619">
        <v>0</v>
      </c>
      <c r="K32" s="619">
        <v>0</v>
      </c>
      <c r="L32" s="755">
        <v>0</v>
      </c>
    </row>
    <row r="33" spans="1:21" customHeight="1" ht="20.25" s="6" customFormat="1">
      <c r="A33" s="543" t="s">
        <v>256</v>
      </c>
      <c r="B33" s="543"/>
      <c r="C33" s="543"/>
      <c r="D33" s="543"/>
      <c r="E33" s="543"/>
      <c r="F33" s="543"/>
      <c r="G33" s="545"/>
      <c r="H33" s="773">
        <f>SUM(H18:H32)</f>
        <v>12419675.92</v>
      </c>
      <c r="I33" s="773">
        <f>SUM(I18:I32)</f>
        <v>6276292.53</v>
      </c>
      <c r="J33" s="773">
        <f>SUM(J18:J32)</f>
        <v>8663067.87</v>
      </c>
      <c r="K33" s="773">
        <f>SUM(K18:K32)</f>
        <v>14939360.4</v>
      </c>
      <c r="L33" s="1181">
        <f>SUM(L18:L32)</f>
        <v>15444705.59</v>
      </c>
    </row>
    <row r="34" spans="1:21" customHeight="1" ht="17.25" s="6" customFormat="1">
      <c r="G34" s="243"/>
      <c r="H34" s="1182"/>
      <c r="I34" s="1182"/>
      <c r="J34" s="1182"/>
      <c r="K34" s="1182"/>
      <c r="L34" s="1183"/>
    </row>
    <row r="35" spans="1:21" customHeight="1" ht="18.75" s="9" customFormat="1">
      <c r="A35" s="58" t="s">
        <v>62</v>
      </c>
      <c r="B35" s="1184"/>
      <c r="C35" s="1184"/>
      <c r="D35" s="1184"/>
      <c r="E35" s="1184"/>
      <c r="G35" s="213"/>
      <c r="H35" s="537"/>
      <c r="I35" s="537"/>
      <c r="J35" s="537"/>
      <c r="K35" s="532"/>
      <c r="L35" s="533"/>
    </row>
    <row r="36" spans="1:21" customHeight="1" ht="18" s="9" customFormat="1">
      <c r="B36" s="9" t="s">
        <v>63</v>
      </c>
      <c r="G36" s="238" t="s">
        <v>64</v>
      </c>
      <c r="H36" s="771">
        <v>393998</v>
      </c>
      <c r="I36" s="771">
        <v>158601</v>
      </c>
      <c r="J36" s="771">
        <f>K36-I36</f>
        <v>299800</v>
      </c>
      <c r="K36" s="771">
        <v>458401</v>
      </c>
      <c r="L36" s="772">
        <v>300000</v>
      </c>
    </row>
    <row r="37" spans="1:21" customHeight="1" ht="18" s="9" customFormat="1">
      <c r="B37" s="9" t="s">
        <v>680</v>
      </c>
      <c r="G37" s="238" t="s">
        <v>73</v>
      </c>
      <c r="H37" s="616">
        <v>71350</v>
      </c>
      <c r="I37" s="616">
        <v>0</v>
      </c>
      <c r="J37" s="616">
        <f>K37-I37</f>
        <v>84600</v>
      </c>
      <c r="K37" s="616">
        <v>84600</v>
      </c>
      <c r="L37" s="650">
        <v>100000</v>
      </c>
    </row>
    <row r="38" spans="1:21" customHeight="1" ht="18" s="9" customFormat="1">
      <c r="B38" s="9" t="s">
        <v>234</v>
      </c>
      <c r="G38" s="238" t="s">
        <v>77</v>
      </c>
      <c r="H38" s="616">
        <v>149262</v>
      </c>
      <c r="I38" s="616">
        <v>90445</v>
      </c>
      <c r="J38" s="616">
        <f>K38-I38</f>
        <v>59555</v>
      </c>
      <c r="K38" s="616">
        <v>150000</v>
      </c>
      <c r="L38" s="650">
        <v>150000</v>
      </c>
    </row>
    <row r="39" spans="1:21" customHeight="1" ht="18" s="9" customFormat="1">
      <c r="B39" s="9" t="s">
        <v>79</v>
      </c>
      <c r="G39" s="238" t="s">
        <v>80</v>
      </c>
      <c r="H39" s="616">
        <v>399704</v>
      </c>
      <c r="I39" s="616">
        <v>78913.9</v>
      </c>
      <c r="J39" s="616">
        <f>K39-I39</f>
        <v>321086.1</v>
      </c>
      <c r="K39" s="616">
        <v>400000</v>
      </c>
      <c r="L39" s="650">
        <v>400000</v>
      </c>
    </row>
    <row r="40" spans="1:21" customHeight="1" ht="18" s="9" customFormat="1">
      <c r="B40" s="9" t="s">
        <v>681</v>
      </c>
      <c r="G40" s="238" t="s">
        <v>682</v>
      </c>
      <c r="H40" s="616">
        <v>159920</v>
      </c>
      <c r="I40" s="616">
        <v>160000</v>
      </c>
      <c r="J40" s="616">
        <f>K40-I40</f>
        <v>40000</v>
      </c>
      <c r="K40" s="616">
        <v>200000</v>
      </c>
      <c r="L40" s="650">
        <v>150000</v>
      </c>
    </row>
    <row r="41" spans="1:21" customHeight="1" ht="18" s="9" customFormat="1">
      <c r="B41" s="9" t="s">
        <v>93</v>
      </c>
      <c r="G41" s="238" t="s">
        <v>94</v>
      </c>
      <c r="H41" s="616">
        <v>0</v>
      </c>
      <c r="I41" s="616">
        <v>0</v>
      </c>
      <c r="J41" s="616">
        <f>K41-I41</f>
        <v>600</v>
      </c>
      <c r="K41" s="616">
        <v>600</v>
      </c>
      <c r="L41" s="650">
        <v>1000</v>
      </c>
    </row>
    <row r="42" spans="1:21" customHeight="1" ht="18" s="9" customFormat="1">
      <c r="B42" s="9" t="s">
        <v>263</v>
      </c>
      <c r="G42" s="238" t="s">
        <v>96</v>
      </c>
      <c r="H42" s="616">
        <v>31482.94</v>
      </c>
      <c r="I42" s="616">
        <v>9767.98</v>
      </c>
      <c r="J42" s="616">
        <f>K42-I42</f>
        <v>40832.02</v>
      </c>
      <c r="K42" s="616">
        <v>50600</v>
      </c>
      <c r="L42" s="650">
        <v>50600</v>
      </c>
    </row>
    <row r="43" spans="1:21" customHeight="1" ht="18" s="9" customFormat="1">
      <c r="B43" s="1507" t="s">
        <v>683</v>
      </c>
      <c r="C43" s="1507"/>
      <c r="D43" s="1507"/>
      <c r="E43" s="1507"/>
      <c r="F43" s="1507"/>
      <c r="G43" s="213" t="s">
        <v>100</v>
      </c>
      <c r="H43" s="616">
        <v>0</v>
      </c>
      <c r="I43" s="616">
        <v>0</v>
      </c>
      <c r="J43" s="616">
        <f>K43-I43</f>
        <v>2000</v>
      </c>
      <c r="K43" s="616">
        <v>2000</v>
      </c>
      <c r="L43" s="650">
        <v>10000</v>
      </c>
    </row>
    <row r="44" spans="1:21" customHeight="1" ht="18" s="9" customFormat="1">
      <c r="B44" s="1507" t="s">
        <v>349</v>
      </c>
      <c r="C44" s="1507"/>
      <c r="D44" s="1507"/>
      <c r="E44" s="1507"/>
      <c r="F44" s="1507"/>
      <c r="G44" s="238" t="s">
        <v>102</v>
      </c>
      <c r="H44" s="616">
        <v>97440</v>
      </c>
      <c r="I44" s="616">
        <v>13850</v>
      </c>
      <c r="J44" s="616">
        <f>K44-I44</f>
        <v>169980</v>
      </c>
      <c r="K44" s="616">
        <v>183830</v>
      </c>
      <c r="L44" s="650">
        <v>100000</v>
      </c>
    </row>
    <row r="45" spans="1:21" customHeight="1" ht="18" s="9" customFormat="1">
      <c r="A45" s="9" t="s">
        <v>684</v>
      </c>
      <c r="B45" s="9" t="s">
        <v>239</v>
      </c>
      <c r="G45" s="238" t="s">
        <v>123</v>
      </c>
      <c r="H45" s="616">
        <v>8898.12</v>
      </c>
      <c r="I45" s="616">
        <v>769.06</v>
      </c>
      <c r="J45" s="616">
        <f>K45-I45</f>
        <v>9230.94</v>
      </c>
      <c r="K45" s="616">
        <v>10000</v>
      </c>
      <c r="L45" s="650">
        <v>15000</v>
      </c>
    </row>
    <row r="46" spans="1:21" customHeight="1" ht="18" s="9" customFormat="1">
      <c r="A46" s="9" t="s">
        <v>685</v>
      </c>
      <c r="B46" s="9" t="s">
        <v>203</v>
      </c>
      <c r="G46" s="238" t="s">
        <v>143</v>
      </c>
      <c r="H46" s="616">
        <v>30162.81</v>
      </c>
      <c r="I46" s="616">
        <v>44615</v>
      </c>
      <c r="J46" s="616">
        <f>K46-I46</f>
        <v>205385</v>
      </c>
      <c r="K46" s="616">
        <v>250000</v>
      </c>
      <c r="L46" s="650">
        <v>150000</v>
      </c>
    </row>
    <row r="47" spans="1:21" customHeight="1" ht="20.25" s="9" customFormat="1">
      <c r="B47" s="671" t="s">
        <v>150</v>
      </c>
      <c r="G47" s="238" t="s">
        <v>107</v>
      </c>
      <c r="H47" s="616">
        <v>2501200</v>
      </c>
      <c r="I47" s="616">
        <v>1135600</v>
      </c>
      <c r="J47" s="616">
        <f>K47-I47</f>
        <v>500969</v>
      </c>
      <c r="K47" s="616">
        <v>1636569</v>
      </c>
      <c r="L47" s="650">
        <v>1500000</v>
      </c>
    </row>
    <row r="48" spans="1:21" customHeight="1" ht="20.25" s="9" customFormat="1">
      <c r="B48" s="29" t="s">
        <v>686</v>
      </c>
      <c r="G48" s="238"/>
      <c r="H48" s="1185">
        <v>0</v>
      </c>
      <c r="I48" s="1185">
        <v>0</v>
      </c>
      <c r="J48" s="1185">
        <v>0</v>
      </c>
      <c r="K48" s="619">
        <v>0</v>
      </c>
      <c r="L48" s="755">
        <v>0</v>
      </c>
    </row>
    <row r="49" spans="1:21" customHeight="1" ht="20.25" s="1058" customFormat="1">
      <c r="A49" s="565" t="s">
        <v>160</v>
      </c>
      <c r="B49" s="565"/>
      <c r="C49" s="565"/>
      <c r="D49" s="565"/>
      <c r="E49" s="565"/>
      <c r="F49" s="705"/>
      <c r="G49" s="243"/>
      <c r="H49" s="1186">
        <f>SUM(H36:H48)</f>
        <v>3843417.87</v>
      </c>
      <c r="I49" s="1186">
        <f>SUM(I36:I48)</f>
        <v>1692561.94</v>
      </c>
      <c r="J49" s="1186">
        <f>SUM(J36:J48)</f>
        <v>1734038.06</v>
      </c>
      <c r="K49" s="1186">
        <f>SUM(K36:K48)</f>
        <v>3426600</v>
      </c>
      <c r="L49" s="1187">
        <f>SUM(L36:L48)</f>
        <v>2926600</v>
      </c>
    </row>
    <row r="50" spans="1:21" customHeight="1" ht="20.25" s="1058" customFormat="1">
      <c r="A50" s="543" t="s">
        <v>161</v>
      </c>
      <c r="B50" s="1140"/>
      <c r="C50" s="1140"/>
      <c r="D50" s="1140"/>
      <c r="E50" s="1140"/>
      <c r="F50" s="1057"/>
      <c r="G50" s="545"/>
      <c r="H50" s="1188">
        <f>+H33+H49</f>
        <v>16263093.79</v>
      </c>
      <c r="I50" s="1188">
        <f>+I33+I49</f>
        <v>7968854.47</v>
      </c>
      <c r="J50" s="1188">
        <f>+J33+J49</f>
        <v>10397105.93</v>
      </c>
      <c r="K50" s="1188">
        <f>+K33+K49</f>
        <v>18365960.4</v>
      </c>
      <c r="L50" s="1189">
        <f>+L33+L49</f>
        <v>18371305.59</v>
      </c>
    </row>
    <row r="51" spans="1:21" customHeight="1" ht="24.95" s="1058" customFormat="1">
      <c r="A51" s="6"/>
      <c r="B51" s="565"/>
      <c r="C51" s="565"/>
      <c r="D51" s="565"/>
      <c r="E51" s="565"/>
      <c r="F51" s="705"/>
      <c r="G51" s="243"/>
      <c r="H51" s="829"/>
      <c r="I51" s="829"/>
      <c r="J51" s="829"/>
      <c r="K51" s="829"/>
      <c r="L51" s="830"/>
    </row>
    <row r="52" spans="1:21" customHeight="1" ht="24.95" s="9" customFormat="1">
      <c r="A52" s="59" t="s">
        <v>162</v>
      </c>
      <c r="B52" s="1180"/>
      <c r="C52" s="1180"/>
      <c r="D52" s="1180"/>
      <c r="E52" s="1180"/>
      <c r="G52" s="213"/>
      <c r="H52" s="645"/>
      <c r="I52" s="645"/>
      <c r="J52" s="645"/>
      <c r="K52" s="532"/>
      <c r="L52" s="533"/>
    </row>
    <row r="53" spans="1:21" customHeight="1" ht="24.95" s="9" customFormat="1">
      <c r="B53" s="5" t="s">
        <v>163</v>
      </c>
      <c r="C53" s="14"/>
      <c r="D53" s="14"/>
      <c r="E53" s="14"/>
      <c r="G53" s="213" t="s">
        <v>164</v>
      </c>
      <c r="H53" s="771">
        <v>29900</v>
      </c>
      <c r="I53" s="771">
        <v>49500</v>
      </c>
      <c r="J53" s="771">
        <f>K53-I53</f>
        <v>330500</v>
      </c>
      <c r="K53" s="771">
        <v>380000</v>
      </c>
      <c r="L53" s="772">
        <v>25000</v>
      </c>
    </row>
    <row r="54" spans="1:21" customHeight="1" ht="24.95" s="9" customFormat="1">
      <c r="B54" s="5" t="s">
        <v>433</v>
      </c>
      <c r="C54" s="14"/>
      <c r="D54" s="14"/>
      <c r="E54" s="14"/>
      <c r="G54" s="213" t="s">
        <v>167</v>
      </c>
      <c r="H54" s="616">
        <v>198370</v>
      </c>
      <c r="I54" s="616">
        <v>198500</v>
      </c>
      <c r="J54" s="616">
        <f>K54-I54</f>
        <v>1500</v>
      </c>
      <c r="K54" s="616">
        <v>200000</v>
      </c>
      <c r="L54" s="650">
        <v>25000</v>
      </c>
    </row>
    <row r="55" spans="1:21" customHeight="1" ht="24.95" s="9" customFormat="1">
      <c r="A55" s="1190"/>
      <c r="B55" s="5" t="s">
        <v>210</v>
      </c>
      <c r="C55" s="14"/>
      <c r="D55" s="14"/>
      <c r="E55" s="14"/>
      <c r="G55" s="213" t="s">
        <v>171</v>
      </c>
      <c r="H55" s="541">
        <v>0</v>
      </c>
      <c r="I55" s="541">
        <v>22500</v>
      </c>
      <c r="J55" s="619">
        <f>K55-I55</f>
        <v>247500</v>
      </c>
      <c r="K55" s="541">
        <v>270000</v>
      </c>
      <c r="L55" s="557">
        <v>0</v>
      </c>
    </row>
    <row r="56" spans="1:21" customHeight="1" ht="24.95" s="273" customFormat="1">
      <c r="A56" s="6" t="s">
        <v>172</v>
      </c>
      <c r="B56" s="6"/>
      <c r="C56" s="6"/>
      <c r="D56" s="6"/>
      <c r="E56" s="6"/>
      <c r="G56" s="253"/>
      <c r="H56" s="776">
        <f>SUM(H53:H55)</f>
        <v>228270</v>
      </c>
      <c r="I56" s="776">
        <f>SUM(I53:I55)</f>
        <v>270500</v>
      </c>
      <c r="J56" s="776">
        <f>SUM(J53:J55)</f>
        <v>579500</v>
      </c>
      <c r="K56" s="776">
        <f>SUM(K53:K55)</f>
        <v>850000</v>
      </c>
      <c r="L56" s="810">
        <f>SUM(L53:L55)</f>
        <v>50000</v>
      </c>
    </row>
    <row r="57" spans="1:21" customHeight="1" ht="24.95" s="273" customFormat="1">
      <c r="A57" s="6"/>
      <c r="B57" s="6"/>
      <c r="C57" s="6"/>
      <c r="D57" s="6"/>
      <c r="E57" s="6"/>
      <c r="G57" s="253"/>
      <c r="H57" s="1191"/>
      <c r="I57" s="1191"/>
      <c r="J57" s="1191"/>
      <c r="K57" s="1191"/>
      <c r="L57" s="1192"/>
    </row>
    <row r="58" spans="1:21" customHeight="1" ht="24.95" s="550" customFormat="1">
      <c r="A58" s="6" t="s">
        <v>252</v>
      </c>
      <c r="B58" s="6"/>
      <c r="C58" s="6"/>
      <c r="D58" s="6"/>
      <c r="E58" s="6"/>
      <c r="F58" s="6"/>
      <c r="G58" s="243"/>
      <c r="H58" s="794">
        <f>+H56+H50</f>
        <v>16491363.79</v>
      </c>
      <c r="I58" s="794">
        <f>+I56+I50</f>
        <v>8239354.47</v>
      </c>
      <c r="J58" s="794">
        <f>+J56+J50</f>
        <v>10976605.93</v>
      </c>
      <c r="K58" s="794">
        <f>+K56+K50</f>
        <v>19215960.4</v>
      </c>
      <c r="L58" s="1193">
        <f>+L56+L50</f>
        <v>18421305.59</v>
      </c>
    </row>
    <row r="59" spans="1:21" customHeight="1" ht="24.95" s="550" customFormat="1">
      <c r="A59" s="6"/>
      <c r="B59" s="6"/>
      <c r="C59" s="6"/>
      <c r="D59" s="6"/>
      <c r="E59" s="6"/>
      <c r="F59" s="6"/>
      <c r="G59" s="243"/>
      <c r="H59" s="794"/>
      <c r="I59" s="1194"/>
      <c r="J59" s="1194"/>
      <c r="K59" s="1194"/>
      <c r="L59" s="1193"/>
    </row>
    <row r="60" spans="1:21" customHeight="1" ht="24.95" s="550" customFormat="1">
      <c r="A60" s="6"/>
      <c r="B60" s="6"/>
      <c r="C60" s="6"/>
      <c r="D60" s="6"/>
      <c r="E60" s="6"/>
      <c r="F60" s="6"/>
      <c r="G60" s="243"/>
      <c r="H60" s="794"/>
      <c r="I60" s="1194"/>
      <c r="J60" s="1194"/>
      <c r="K60" s="1194"/>
      <c r="L60" s="1193"/>
    </row>
    <row r="61" spans="1:21" customHeight="1" ht="24.95" s="9" customFormat="1">
      <c r="A61" s="876"/>
      <c r="B61" s="876"/>
      <c r="C61" s="876"/>
      <c r="D61" s="876"/>
      <c r="E61" s="876"/>
      <c r="F61" s="73"/>
      <c r="G61" s="720"/>
      <c r="H61" s="720"/>
      <c r="I61" s="720"/>
      <c r="J61" s="720"/>
      <c r="K61" s="720"/>
      <c r="L61" s="721"/>
    </row>
    <row r="62" spans="1:21" customHeight="1" ht="24.95" s="9" customFormat="1">
      <c r="A62" s="1195"/>
      <c r="B62" s="1195"/>
      <c r="C62" s="1195"/>
      <c r="D62" s="1195"/>
      <c r="E62" s="1195"/>
      <c r="F62" s="787"/>
      <c r="G62" s="1196"/>
      <c r="H62" s="1196"/>
      <c r="I62" s="1196"/>
      <c r="J62" s="1196"/>
      <c r="K62" s="1196"/>
      <c r="L62" s="1196"/>
    </row>
    <row r="63" spans="1:21" customHeight="1" ht="24.95" s="9" customFormat="1">
      <c r="A63" s="7"/>
      <c r="B63" s="7"/>
      <c r="C63" s="7"/>
      <c r="D63" s="7"/>
      <c r="E63" s="7"/>
      <c r="G63" s="591"/>
      <c r="H63" s="591"/>
      <c r="I63" s="591"/>
      <c r="J63" s="591"/>
      <c r="K63" s="591"/>
      <c r="L63" s="591"/>
    </row>
    <row r="64" spans="1:21" customHeight="1" ht="15" s="22" customFormat="1">
      <c r="A64" s="944" t="s">
        <v>435</v>
      </c>
      <c r="B64" s="344"/>
      <c r="C64" s="344"/>
      <c r="D64" s="344"/>
      <c r="E64" s="344"/>
      <c r="F64" s="344"/>
      <c r="G64" s="1197"/>
      <c r="H64" s="1197"/>
      <c r="I64" s="1197"/>
      <c r="J64" s="1197"/>
      <c r="K64" s="1197"/>
      <c r="L64" s="1198"/>
      <c r="M64" s="522"/>
      <c r="N64" s="522"/>
      <c r="O64" s="522"/>
      <c r="P64" s="522"/>
      <c r="Q64" s="522"/>
      <c r="R64" s="522"/>
      <c r="S64" s="522"/>
      <c r="T64" s="522"/>
      <c r="U64" s="522"/>
    </row>
    <row r="65" spans="1:21" customHeight="1" ht="15" s="9" customFormat="1">
      <c r="A65" s="948" t="s">
        <v>687</v>
      </c>
      <c r="B65" s="15"/>
      <c r="C65" s="15"/>
      <c r="D65" s="15"/>
      <c r="E65" s="15"/>
      <c r="F65" s="15"/>
      <c r="G65" s="213"/>
      <c r="H65" s="949"/>
      <c r="I65" s="949"/>
      <c r="J65" s="949"/>
      <c r="K65" s="949"/>
      <c r="L65" s="1071"/>
      <c r="M65" s="529"/>
      <c r="N65" s="529"/>
      <c r="O65" s="529"/>
      <c r="P65" s="529"/>
      <c r="Q65" s="529"/>
      <c r="R65" s="529"/>
      <c r="S65" s="529"/>
      <c r="T65" s="529"/>
      <c r="U65" s="529"/>
    </row>
    <row r="66" spans="1:21" customHeight="1" ht="15" s="9" customFormat="1">
      <c r="A66" s="950" t="s">
        <v>213</v>
      </c>
      <c r="B66" s="15"/>
      <c r="C66" s="15"/>
      <c r="D66" s="15"/>
      <c r="E66" s="15"/>
      <c r="F66" s="15"/>
      <c r="G66" s="213"/>
      <c r="H66" s="949"/>
      <c r="I66" s="949"/>
      <c r="J66" s="949"/>
      <c r="K66" s="949"/>
      <c r="L66" s="1071"/>
      <c r="M66" s="529"/>
      <c r="N66" s="529"/>
      <c r="O66" s="529"/>
      <c r="P66" s="529"/>
      <c r="Q66" s="529"/>
      <c r="R66" s="529"/>
      <c r="S66" s="529"/>
      <c r="T66" s="529"/>
      <c r="U66" s="529"/>
    </row>
    <row r="67" spans="1:21" customHeight="1" ht="15" s="9" customFormat="1">
      <c r="B67" s="9" t="s">
        <v>142</v>
      </c>
      <c r="C67" s="27"/>
      <c r="D67" s="27"/>
      <c r="E67" s="27"/>
      <c r="F67" s="951"/>
      <c r="G67" s="238" t="s">
        <v>143</v>
      </c>
      <c r="H67" s="954">
        <v>0</v>
      </c>
      <c r="I67" s="954">
        <v>158500</v>
      </c>
      <c r="J67" s="619">
        <f>K67-I67</f>
        <v>441500</v>
      </c>
      <c r="K67" s="954">
        <v>600000</v>
      </c>
      <c r="L67" s="1072">
        <v>300000</v>
      </c>
      <c r="M67" s="529"/>
      <c r="N67" s="529"/>
      <c r="O67" s="529"/>
      <c r="P67" s="529"/>
      <c r="Q67" s="529"/>
      <c r="R67" s="529"/>
      <c r="S67" s="529"/>
      <c r="T67" s="529"/>
      <c r="U67" s="529"/>
    </row>
    <row r="68" spans="1:21" customHeight="1" ht="15" s="968" customFormat="1">
      <c r="A68" s="956" t="s">
        <v>688</v>
      </c>
      <c r="B68" s="957"/>
      <c r="C68" s="957"/>
      <c r="D68" s="957"/>
      <c r="E68" s="957"/>
      <c r="F68" s="957"/>
      <c r="G68" s="966"/>
      <c r="H68" s="1199">
        <f>SUM(H67:H67)</f>
        <v>0</v>
      </c>
      <c r="I68" s="1199">
        <f>SUM(I67:I67)</f>
        <v>158500</v>
      </c>
      <c r="J68" s="1199">
        <f>SUM(J67:J67)</f>
        <v>441500</v>
      </c>
      <c r="K68" s="1199">
        <f>SUM(K67:K67)</f>
        <v>600000</v>
      </c>
      <c r="L68" s="974">
        <f>SUM(L67:L67)</f>
        <v>300000</v>
      </c>
      <c r="M68" s="967"/>
      <c r="N68" s="967"/>
      <c r="O68" s="967"/>
      <c r="P68" s="967"/>
      <c r="Q68" s="967"/>
      <c r="R68" s="967"/>
      <c r="S68" s="967"/>
      <c r="T68" s="967"/>
      <c r="U68" s="967"/>
    </row>
    <row r="69" spans="1:21" customHeight="1" ht="15" s="9" customFormat="1">
      <c r="B69" s="1075"/>
      <c r="C69" s="7"/>
      <c r="D69" s="27"/>
      <c r="E69" s="27"/>
      <c r="F69" s="951"/>
      <c r="G69" s="238"/>
      <c r="H69" s="1200"/>
      <c r="I69" s="1200"/>
      <c r="J69" s="1200"/>
      <c r="K69" s="983"/>
      <c r="L69" s="77"/>
      <c r="M69" s="529"/>
      <c r="N69" s="529"/>
      <c r="O69" s="529"/>
      <c r="P69" s="529"/>
      <c r="Q69" s="529"/>
      <c r="R69" s="529"/>
      <c r="S69" s="529"/>
      <c r="T69" s="529"/>
      <c r="U69" s="529"/>
    </row>
    <row r="70" spans="1:21" customHeight="1" ht="15" s="9" customFormat="1">
      <c r="A70" s="948" t="s">
        <v>689</v>
      </c>
      <c r="B70" s="15"/>
      <c r="C70" s="15"/>
      <c r="D70" s="15"/>
      <c r="E70" s="15"/>
      <c r="F70" s="15"/>
      <c r="G70" s="213"/>
      <c r="H70" s="1201"/>
      <c r="I70" s="1201"/>
      <c r="J70" s="1201"/>
      <c r="K70" s="949"/>
      <c r="L70" s="1071"/>
      <c r="M70" s="533"/>
      <c r="N70" s="533"/>
      <c r="O70" s="533"/>
      <c r="P70" s="533"/>
      <c r="Q70" s="533"/>
      <c r="R70" s="533"/>
      <c r="S70" s="533"/>
      <c r="T70" s="533"/>
      <c r="U70" s="533"/>
    </row>
    <row r="71" spans="1:21" customHeight="1" ht="15" s="9" customFormat="1">
      <c r="A71" s="950" t="s">
        <v>213</v>
      </c>
      <c r="B71" s="15"/>
      <c r="C71" s="15"/>
      <c r="D71" s="15"/>
      <c r="E71" s="15"/>
      <c r="F71" s="15"/>
      <c r="G71" s="213"/>
      <c r="H71" s="1201"/>
      <c r="I71" s="1201"/>
      <c r="J71" s="1201"/>
      <c r="K71" s="949"/>
      <c r="L71" s="1071"/>
      <c r="M71" s="533"/>
      <c r="N71" s="533"/>
      <c r="O71" s="533"/>
      <c r="P71" s="533"/>
      <c r="Q71" s="533"/>
      <c r="R71" s="533"/>
      <c r="S71" s="533"/>
      <c r="T71" s="533"/>
      <c r="U71" s="533"/>
    </row>
    <row r="72" spans="1:21" customHeight="1" ht="15" s="9" customFormat="1">
      <c r="B72" s="9" t="s">
        <v>142</v>
      </c>
      <c r="C72" s="27"/>
      <c r="D72" s="27"/>
      <c r="E72" s="27"/>
      <c r="F72" s="951"/>
      <c r="G72" s="238" t="s">
        <v>143</v>
      </c>
      <c r="H72" s="1202">
        <v>0</v>
      </c>
      <c r="I72" s="1202">
        <v>102997</v>
      </c>
      <c r="J72" s="619">
        <f>K72-I72</f>
        <v>197003</v>
      </c>
      <c r="K72" s="954">
        <v>300000</v>
      </c>
      <c r="L72" s="1072">
        <v>150000</v>
      </c>
      <c r="M72" s="533"/>
      <c r="N72" s="533"/>
      <c r="O72" s="533"/>
      <c r="P72" s="533"/>
      <c r="Q72" s="533"/>
      <c r="R72" s="533"/>
      <c r="S72" s="533"/>
      <c r="T72" s="533"/>
      <c r="U72" s="533"/>
    </row>
    <row r="73" spans="1:21" customHeight="1" ht="15" s="968" customFormat="1">
      <c r="A73" s="956" t="s">
        <v>690</v>
      </c>
      <c r="B73" s="957"/>
      <c r="C73" s="957"/>
      <c r="D73" s="957"/>
      <c r="E73" s="957"/>
      <c r="F73" s="957"/>
      <c r="G73" s="966"/>
      <c r="H73" s="1199">
        <f>SUM(H72:H72)</f>
        <v>0</v>
      </c>
      <c r="I73" s="1199">
        <f>SUM(I72:I72)</f>
        <v>102997</v>
      </c>
      <c r="J73" s="1199">
        <f>SUM(J72:J72)</f>
        <v>197003</v>
      </c>
      <c r="K73" s="1199">
        <f>SUM(K72:K72)</f>
        <v>300000</v>
      </c>
      <c r="L73" s="974">
        <f>SUM(L72:L72)</f>
        <v>150000</v>
      </c>
      <c r="M73" s="1203"/>
      <c r="N73" s="1203"/>
      <c r="O73" s="1203"/>
      <c r="P73" s="1203"/>
      <c r="Q73" s="1203"/>
      <c r="R73" s="1203"/>
      <c r="S73" s="1203"/>
      <c r="T73" s="1203"/>
      <c r="U73" s="1203"/>
    </row>
    <row r="74" spans="1:21" customHeight="1" ht="15" s="9" customFormat="1">
      <c r="B74" s="1075"/>
      <c r="C74" s="1204"/>
      <c r="D74" s="27"/>
      <c r="E74" s="27"/>
      <c r="F74" s="951"/>
      <c r="G74" s="238"/>
      <c r="H74" s="1200"/>
      <c r="I74" s="1200"/>
      <c r="J74" s="1200"/>
      <c r="K74" s="983"/>
      <c r="L74" s="77"/>
      <c r="M74" s="529"/>
      <c r="N74" s="529"/>
      <c r="O74" s="529"/>
      <c r="P74" s="529"/>
      <c r="Q74" s="529"/>
      <c r="R74" s="529"/>
      <c r="S74" s="529"/>
      <c r="T74" s="529"/>
      <c r="U74" s="529"/>
    </row>
    <row r="75" spans="1:21" customHeight="1" ht="15" s="9" customFormat="1">
      <c r="A75" s="948" t="s">
        <v>691</v>
      </c>
      <c r="B75" s="15"/>
      <c r="C75" s="15"/>
      <c r="D75" s="15"/>
      <c r="E75" s="15"/>
      <c r="F75" s="15"/>
      <c r="G75" s="213"/>
      <c r="H75" s="1201"/>
      <c r="I75" s="1201"/>
      <c r="J75" s="1201"/>
      <c r="K75" s="949"/>
      <c r="L75" s="1071"/>
      <c r="M75" s="533"/>
      <c r="N75" s="533"/>
      <c r="O75" s="533"/>
      <c r="P75" s="533"/>
      <c r="Q75" s="533"/>
      <c r="R75" s="533"/>
      <c r="S75" s="533"/>
      <c r="T75" s="533"/>
      <c r="U75" s="533"/>
    </row>
    <row r="76" spans="1:21" customHeight="1" ht="15" s="9" customFormat="1">
      <c r="A76" s="950" t="s">
        <v>213</v>
      </c>
      <c r="B76" s="15"/>
      <c r="C76" s="15"/>
      <c r="D76" s="15"/>
      <c r="E76" s="15"/>
      <c r="F76" s="15"/>
      <c r="G76" s="213"/>
      <c r="H76" s="1201"/>
      <c r="I76" s="1201"/>
      <c r="J76" s="1201"/>
      <c r="K76" s="949"/>
      <c r="L76" s="1071"/>
      <c r="M76" s="533"/>
      <c r="N76" s="533"/>
      <c r="O76" s="533"/>
      <c r="P76" s="533"/>
      <c r="Q76" s="533"/>
      <c r="R76" s="533"/>
      <c r="S76" s="533"/>
      <c r="T76" s="533"/>
      <c r="U76" s="533"/>
    </row>
    <row r="77" spans="1:21" customHeight="1" ht="15" s="9" customFormat="1">
      <c r="B77" s="9" t="s">
        <v>142</v>
      </c>
      <c r="C77" s="27"/>
      <c r="D77" s="27"/>
      <c r="E77" s="27"/>
      <c r="F77" s="951"/>
      <c r="G77" s="238" t="s">
        <v>143</v>
      </c>
      <c r="H77" s="1202">
        <v>0</v>
      </c>
      <c r="I77" s="1202">
        <v>100000</v>
      </c>
      <c r="J77" s="619">
        <f>K77-I77</f>
        <v>100000</v>
      </c>
      <c r="K77" s="954">
        <v>200000</v>
      </c>
      <c r="L77" s="1072">
        <v>100000</v>
      </c>
      <c r="M77" s="533"/>
      <c r="N77" s="533"/>
      <c r="O77" s="533"/>
      <c r="P77" s="533"/>
      <c r="Q77" s="533"/>
      <c r="R77" s="533"/>
      <c r="S77" s="533"/>
      <c r="T77" s="533"/>
      <c r="U77" s="533"/>
    </row>
    <row r="78" spans="1:21" customHeight="1" ht="15" s="968" customFormat="1">
      <c r="A78" s="956" t="s">
        <v>692</v>
      </c>
      <c r="B78" s="957"/>
      <c r="C78" s="957"/>
      <c r="D78" s="957"/>
      <c r="E78" s="957"/>
      <c r="F78" s="957"/>
      <c r="G78" s="966"/>
      <c r="H78" s="1199">
        <f>SUM(H77:H77)</f>
        <v>0</v>
      </c>
      <c r="I78" s="1199">
        <f>SUM(I77:I77)</f>
        <v>100000</v>
      </c>
      <c r="J78" s="1199">
        <f>SUM(J77:J77)</f>
        <v>100000</v>
      </c>
      <c r="K78" s="1199">
        <f>SUM(K77:K77)</f>
        <v>200000</v>
      </c>
      <c r="L78" s="974">
        <f>SUM(L77:L77)</f>
        <v>100000</v>
      </c>
      <c r="M78" s="1203"/>
      <c r="N78" s="1203"/>
      <c r="O78" s="1203"/>
      <c r="P78" s="1203"/>
      <c r="Q78" s="1203"/>
      <c r="R78" s="1203"/>
      <c r="S78" s="1203"/>
      <c r="T78" s="1203"/>
      <c r="U78" s="1203"/>
    </row>
    <row r="79" spans="1:21" customHeight="1" ht="15" s="9" customFormat="1">
      <c r="B79" s="1075"/>
      <c r="C79" s="1204"/>
      <c r="D79" s="27"/>
      <c r="E79" s="27"/>
      <c r="F79" s="951"/>
      <c r="G79" s="238"/>
      <c r="H79" s="1200"/>
      <c r="I79" s="1200"/>
      <c r="J79" s="1200"/>
      <c r="K79" s="949"/>
      <c r="L79" s="1071"/>
      <c r="M79" s="529"/>
      <c r="N79" s="529"/>
      <c r="O79" s="529"/>
      <c r="P79" s="529"/>
      <c r="Q79" s="529"/>
      <c r="R79" s="529"/>
      <c r="S79" s="529"/>
      <c r="T79" s="529"/>
      <c r="U79" s="529"/>
    </row>
    <row r="80" spans="1:21" customHeight="1" ht="15" s="9" customFormat="1">
      <c r="A80" s="948" t="s">
        <v>693</v>
      </c>
      <c r="B80" s="15"/>
      <c r="C80" s="15"/>
      <c r="D80" s="15"/>
      <c r="E80" s="15"/>
      <c r="F80" s="15"/>
      <c r="G80" s="213"/>
      <c r="H80" s="1201"/>
      <c r="I80" s="1201"/>
      <c r="J80" s="1201"/>
      <c r="K80" s="949"/>
      <c r="L80" s="1071"/>
      <c r="M80" s="533"/>
      <c r="N80" s="533"/>
      <c r="O80" s="533"/>
      <c r="P80" s="533"/>
      <c r="Q80" s="533"/>
      <c r="R80" s="533"/>
      <c r="S80" s="533"/>
      <c r="T80" s="533"/>
      <c r="U80" s="533"/>
    </row>
    <row r="81" spans="1:21" customHeight="1" ht="15" s="9" customFormat="1">
      <c r="A81" s="950" t="s">
        <v>213</v>
      </c>
      <c r="B81" s="15"/>
      <c r="C81" s="15"/>
      <c r="D81" s="15"/>
      <c r="E81" s="15"/>
      <c r="F81" s="15"/>
      <c r="G81" s="213"/>
      <c r="H81" s="1201"/>
      <c r="I81" s="1201"/>
      <c r="J81" s="1201"/>
      <c r="K81" s="949"/>
      <c r="L81" s="1071"/>
      <c r="M81" s="533"/>
      <c r="N81" s="533"/>
      <c r="O81" s="533"/>
      <c r="P81" s="533"/>
      <c r="Q81" s="533"/>
      <c r="R81" s="533"/>
      <c r="S81" s="533"/>
      <c r="T81" s="533"/>
      <c r="U81" s="533"/>
    </row>
    <row r="82" spans="1:21" customHeight="1" ht="15" s="9" customFormat="1">
      <c r="B82" s="9" t="s">
        <v>142</v>
      </c>
      <c r="C82" s="27"/>
      <c r="D82" s="27"/>
      <c r="E82" s="27"/>
      <c r="F82" s="951"/>
      <c r="G82" s="238" t="s">
        <v>143</v>
      </c>
      <c r="H82" s="1202">
        <v>0</v>
      </c>
      <c r="I82" s="1202">
        <v>0</v>
      </c>
      <c r="J82" s="619">
        <f>K82-I82</f>
        <v>40000</v>
      </c>
      <c r="K82" s="954">
        <v>40000</v>
      </c>
      <c r="L82" s="1072">
        <v>30000</v>
      </c>
      <c r="M82" s="533"/>
      <c r="N82" s="533"/>
      <c r="O82" s="533"/>
      <c r="P82" s="533"/>
      <c r="Q82" s="533"/>
      <c r="R82" s="533"/>
      <c r="S82" s="533"/>
      <c r="T82" s="533"/>
      <c r="U82" s="533"/>
    </row>
    <row r="83" spans="1:21" customHeight="1" ht="15" s="968" customFormat="1">
      <c r="A83" s="956" t="s">
        <v>694</v>
      </c>
      <c r="B83" s="957"/>
      <c r="C83" s="957"/>
      <c r="D83" s="957"/>
      <c r="E83" s="957"/>
      <c r="F83" s="957"/>
      <c r="G83" s="966"/>
      <c r="H83" s="1199">
        <f>SUM(H82:H82)</f>
        <v>0</v>
      </c>
      <c r="I83" s="1199">
        <f>SUM(I82:I82)</f>
        <v>0</v>
      </c>
      <c r="J83" s="1199">
        <f>SUM(J82:J82)</f>
        <v>40000</v>
      </c>
      <c r="K83" s="1199">
        <f>SUM(K82:K82)</f>
        <v>40000</v>
      </c>
      <c r="L83" s="974">
        <f>SUM(L82:L82)</f>
        <v>30000</v>
      </c>
      <c r="M83" s="1203"/>
      <c r="N83" s="1203"/>
      <c r="O83" s="1203"/>
      <c r="P83" s="1203"/>
      <c r="Q83" s="1203"/>
      <c r="R83" s="1203"/>
      <c r="S83" s="1203"/>
      <c r="T83" s="1203"/>
      <c r="U83" s="1203"/>
    </row>
    <row r="84" spans="1:21" customHeight="1" ht="15" s="9" customFormat="1">
      <c r="B84" s="1075"/>
      <c r="C84" s="1204"/>
      <c r="D84" s="27"/>
      <c r="E84" s="27"/>
      <c r="F84" s="951"/>
      <c r="G84" s="238"/>
      <c r="H84" s="238"/>
      <c r="I84" s="238"/>
      <c r="J84" s="238"/>
      <c r="K84" s="983"/>
      <c r="L84" s="77"/>
      <c r="M84" s="529"/>
      <c r="N84" s="529"/>
      <c r="O84" s="529"/>
      <c r="P84" s="529"/>
      <c r="Q84" s="529"/>
      <c r="R84" s="529"/>
      <c r="S84" s="529"/>
      <c r="T84" s="529"/>
      <c r="U84" s="529"/>
    </row>
    <row r="85" spans="1:21" customHeight="1" ht="15" s="9" customFormat="1">
      <c r="A85" s="73"/>
      <c r="B85" s="1205"/>
      <c r="C85" s="1206"/>
      <c r="D85" s="961"/>
      <c r="E85" s="961"/>
      <c r="F85" s="962"/>
      <c r="G85" s="572"/>
      <c r="H85" s="1207"/>
      <c r="I85" s="1207"/>
      <c r="J85" s="1207"/>
      <c r="K85" s="985"/>
      <c r="L85" s="1208"/>
      <c r="M85" s="529"/>
      <c r="N85" s="529"/>
      <c r="O85" s="529"/>
      <c r="P85" s="529"/>
      <c r="Q85" s="529"/>
      <c r="R85" s="529"/>
      <c r="S85" s="529"/>
      <c r="T85" s="529"/>
      <c r="U85" s="529"/>
    </row>
    <row r="86" spans="1:21" customHeight="1" ht="18" s="9" customFormat="1">
      <c r="A86" s="948" t="s">
        <v>695</v>
      </c>
      <c r="B86" s="15"/>
      <c r="C86" s="15"/>
      <c r="D86" s="15"/>
      <c r="E86" s="15"/>
      <c r="F86" s="15"/>
      <c r="G86" s="213"/>
      <c r="H86" s="1201"/>
      <c r="I86" s="1201"/>
      <c r="J86" s="1201"/>
      <c r="K86" s="949"/>
      <c r="L86" s="1071"/>
      <c r="M86" s="533"/>
      <c r="N86" s="533"/>
      <c r="O86" s="533"/>
      <c r="P86" s="533"/>
      <c r="Q86" s="533"/>
      <c r="R86" s="533"/>
      <c r="S86" s="533"/>
      <c r="T86" s="533"/>
      <c r="U86" s="533"/>
    </row>
    <row r="87" spans="1:21" customHeight="1" ht="18" s="9" customFormat="1">
      <c r="A87" s="950" t="s">
        <v>213</v>
      </c>
      <c r="B87" s="15"/>
      <c r="C87" s="15"/>
      <c r="D87" s="15"/>
      <c r="E87" s="15"/>
      <c r="F87" s="15"/>
      <c r="G87" s="213"/>
      <c r="H87" s="1201"/>
      <c r="I87" s="1201"/>
      <c r="J87" s="1201"/>
      <c r="K87" s="949"/>
      <c r="L87" s="1071"/>
      <c r="M87" s="533"/>
      <c r="N87" s="533"/>
      <c r="O87" s="533"/>
      <c r="P87" s="533"/>
      <c r="Q87" s="533"/>
      <c r="R87" s="533"/>
      <c r="S87" s="533"/>
      <c r="T87" s="533"/>
      <c r="U87" s="533"/>
    </row>
    <row r="88" spans="1:21" customHeight="1" ht="18" s="9" customFormat="1">
      <c r="B88" s="9" t="s">
        <v>142</v>
      </c>
      <c r="C88" s="27"/>
      <c r="D88" s="27"/>
      <c r="E88" s="27"/>
      <c r="F88" s="951"/>
      <c r="G88" s="238" t="s">
        <v>143</v>
      </c>
      <c r="H88" s="1202">
        <v>0</v>
      </c>
      <c r="I88" s="1202">
        <v>49200</v>
      </c>
      <c r="J88" s="619">
        <f>K88-I88</f>
        <v>150800</v>
      </c>
      <c r="K88" s="954">
        <v>200000</v>
      </c>
      <c r="L88" s="1072">
        <v>100000</v>
      </c>
      <c r="M88" s="533"/>
      <c r="N88" s="533"/>
      <c r="O88" s="533"/>
      <c r="P88" s="533"/>
      <c r="Q88" s="533"/>
      <c r="R88" s="533"/>
      <c r="S88" s="533"/>
      <c r="T88" s="533"/>
      <c r="U88" s="533"/>
    </row>
    <row r="89" spans="1:21" customHeight="1" ht="18" s="968" customFormat="1">
      <c r="A89" s="956" t="s">
        <v>696</v>
      </c>
      <c r="B89" s="957"/>
      <c r="C89" s="957"/>
      <c r="D89" s="957"/>
      <c r="E89" s="957"/>
      <c r="F89" s="957"/>
      <c r="G89" s="966"/>
      <c r="H89" s="1199">
        <f>SUM(H88:H88)</f>
        <v>0</v>
      </c>
      <c r="I89" s="1199">
        <f>SUM(I88:I88)</f>
        <v>49200</v>
      </c>
      <c r="J89" s="1199">
        <f>SUM(J88:J88)</f>
        <v>150800</v>
      </c>
      <c r="K89" s="1199">
        <f>SUM(K88:K88)</f>
        <v>200000</v>
      </c>
      <c r="L89" s="974">
        <f>SUM(L88:L88)</f>
        <v>100000</v>
      </c>
      <c r="M89" s="1203"/>
      <c r="N89" s="1203"/>
      <c r="O89" s="1203"/>
      <c r="P89" s="1203"/>
      <c r="Q89" s="1203"/>
      <c r="R89" s="1203"/>
      <c r="S89" s="1203"/>
      <c r="T89" s="1203"/>
      <c r="U89" s="1203"/>
    </row>
    <row r="90" spans="1:21" customHeight="1" ht="18" s="9" customFormat="1">
      <c r="B90" s="1075"/>
      <c r="C90" s="1204"/>
      <c r="D90" s="27"/>
      <c r="E90" s="27"/>
      <c r="F90" s="951"/>
      <c r="G90" s="238"/>
      <c r="H90" s="238"/>
      <c r="I90" s="238"/>
      <c r="J90" s="238"/>
      <c r="K90" s="949"/>
      <c r="L90" s="1071"/>
      <c r="M90" s="529"/>
      <c r="N90" s="529"/>
      <c r="O90" s="529"/>
      <c r="P90" s="529"/>
      <c r="Q90" s="529"/>
      <c r="R90" s="529"/>
      <c r="S90" s="529"/>
      <c r="T90" s="529"/>
      <c r="U90" s="529"/>
    </row>
    <row r="91" spans="1:21" customHeight="1" ht="18" s="9" customFormat="1">
      <c r="A91" s="948" t="s">
        <v>697</v>
      </c>
      <c r="B91" s="15"/>
      <c r="C91" s="15"/>
      <c r="D91" s="15"/>
      <c r="E91" s="15"/>
      <c r="F91" s="15"/>
      <c r="G91" s="213"/>
      <c r="H91" s="1201"/>
      <c r="I91" s="1201"/>
      <c r="J91" s="1201"/>
      <c r="K91" s="949"/>
      <c r="L91" s="1071"/>
      <c r="M91" s="533"/>
      <c r="N91" s="533"/>
      <c r="O91" s="533"/>
      <c r="P91" s="533"/>
      <c r="Q91" s="533"/>
      <c r="R91" s="533"/>
      <c r="S91" s="533"/>
      <c r="T91" s="533"/>
      <c r="U91" s="533"/>
    </row>
    <row r="92" spans="1:21" customHeight="1" ht="18" s="9" customFormat="1">
      <c r="A92" s="948" t="s">
        <v>698</v>
      </c>
      <c r="B92" s="15"/>
      <c r="C92" s="15"/>
      <c r="D92" s="15"/>
      <c r="E92" s="15"/>
      <c r="F92" s="15"/>
      <c r="G92" s="213"/>
      <c r="H92" s="1201"/>
      <c r="I92" s="1201"/>
      <c r="J92" s="1201"/>
      <c r="K92" s="949"/>
      <c r="L92" s="1071"/>
      <c r="M92" s="533"/>
      <c r="N92" s="533"/>
      <c r="O92" s="533"/>
      <c r="P92" s="533"/>
      <c r="Q92" s="533"/>
      <c r="R92" s="533"/>
      <c r="S92" s="533"/>
      <c r="T92" s="533"/>
      <c r="U92" s="533"/>
    </row>
    <row r="93" spans="1:21" customHeight="1" ht="18" s="9" customFormat="1">
      <c r="A93" s="948" t="s">
        <v>699</v>
      </c>
      <c r="B93" s="15"/>
      <c r="C93" s="15"/>
      <c r="D93" s="15"/>
      <c r="E93" s="15"/>
      <c r="F93" s="15"/>
      <c r="G93" s="213"/>
      <c r="H93" s="1201"/>
      <c r="I93" s="1201"/>
      <c r="J93" s="1201"/>
      <c r="K93" s="949"/>
      <c r="L93" s="1071"/>
      <c r="M93" s="533"/>
      <c r="N93" s="533"/>
      <c r="O93" s="533"/>
      <c r="P93" s="533"/>
      <c r="Q93" s="533"/>
      <c r="R93" s="533"/>
      <c r="S93" s="533"/>
      <c r="T93" s="533"/>
      <c r="U93" s="533"/>
    </row>
    <row r="94" spans="1:21" customHeight="1" ht="18" s="9" customFormat="1">
      <c r="A94" s="950" t="s">
        <v>213</v>
      </c>
      <c r="B94" s="15"/>
      <c r="C94" s="15"/>
      <c r="D94" s="15"/>
      <c r="E94" s="15"/>
      <c r="F94" s="15"/>
      <c r="G94" s="213"/>
      <c r="H94" s="1201"/>
      <c r="I94" s="1201"/>
      <c r="J94" s="1201"/>
      <c r="K94" s="949"/>
      <c r="L94" s="1071"/>
      <c r="M94" s="533"/>
      <c r="N94" s="533"/>
      <c r="O94" s="533"/>
      <c r="P94" s="533"/>
      <c r="Q94" s="533"/>
      <c r="R94" s="533"/>
      <c r="S94" s="533"/>
      <c r="T94" s="533"/>
      <c r="U94" s="533"/>
    </row>
    <row r="95" spans="1:21" customHeight="1" ht="18" s="9" customFormat="1">
      <c r="B95" s="9" t="s">
        <v>142</v>
      </c>
      <c r="C95" s="27"/>
      <c r="D95" s="27"/>
      <c r="E95" s="27"/>
      <c r="F95" s="951"/>
      <c r="G95" s="238" t="s">
        <v>143</v>
      </c>
      <c r="H95" s="1202">
        <v>0</v>
      </c>
      <c r="I95" s="1202">
        <v>77933.75</v>
      </c>
      <c r="J95" s="619">
        <f>K95-I95</f>
        <v>222066.25</v>
      </c>
      <c r="K95" s="954">
        <v>300000</v>
      </c>
      <c r="L95" s="1072">
        <v>120000</v>
      </c>
      <c r="M95" s="533"/>
      <c r="N95" s="533"/>
      <c r="O95" s="533"/>
      <c r="P95" s="533"/>
      <c r="Q95" s="533"/>
      <c r="R95" s="533"/>
      <c r="S95" s="533"/>
      <c r="T95" s="533"/>
      <c r="U95" s="533"/>
    </row>
    <row r="96" spans="1:21" customHeight="1" ht="18" s="968" customFormat="1">
      <c r="A96" s="956" t="s">
        <v>700</v>
      </c>
      <c r="B96" s="957"/>
      <c r="C96" s="957"/>
      <c r="D96" s="957"/>
      <c r="E96" s="957"/>
      <c r="F96" s="957"/>
      <c r="G96" s="966"/>
      <c r="H96" s="1199">
        <f>SUM(H95:H95)</f>
        <v>0</v>
      </c>
      <c r="I96" s="1199">
        <f>SUM(I95:I95)</f>
        <v>77933.75</v>
      </c>
      <c r="J96" s="1199">
        <f>SUM(J95:J95)</f>
        <v>222066.25</v>
      </c>
      <c r="K96" s="1199">
        <f>SUM(K95:K95)</f>
        <v>300000</v>
      </c>
      <c r="L96" s="974">
        <f>SUM(L95:L95)</f>
        <v>120000</v>
      </c>
      <c r="M96" s="1203"/>
      <c r="N96" s="1203"/>
      <c r="O96" s="1203"/>
      <c r="P96" s="1203"/>
      <c r="Q96" s="1203"/>
      <c r="R96" s="1203"/>
      <c r="S96" s="1203"/>
      <c r="T96" s="1203"/>
      <c r="U96" s="1203"/>
    </row>
    <row r="97" spans="1:21" customHeight="1" ht="18" s="9" customFormat="1">
      <c r="B97" s="1075"/>
      <c r="C97" s="1204"/>
      <c r="D97" s="27"/>
      <c r="E97" s="27"/>
      <c r="F97" s="951"/>
      <c r="G97" s="238"/>
      <c r="H97" s="238"/>
      <c r="I97" s="906"/>
      <c r="J97" s="906"/>
      <c r="K97" s="953"/>
      <c r="L97" s="953"/>
      <c r="M97" s="529"/>
      <c r="N97" s="529"/>
      <c r="O97" s="529"/>
      <c r="P97" s="529"/>
      <c r="Q97" s="529"/>
      <c r="R97" s="529"/>
      <c r="S97" s="529"/>
      <c r="T97" s="529"/>
      <c r="U97" s="529"/>
    </row>
    <row r="98" spans="1:21" customHeight="1" ht="18" s="9" customFormat="1">
      <c r="A98" s="948" t="s">
        <v>701</v>
      </c>
      <c r="B98" s="15"/>
      <c r="C98" s="15"/>
      <c r="D98" s="15"/>
      <c r="E98" s="15"/>
      <c r="F98" s="15"/>
      <c r="G98" s="213"/>
      <c r="H98" s="1201"/>
      <c r="I98" s="1201"/>
      <c r="J98" s="1201"/>
      <c r="K98" s="949"/>
      <c r="L98" s="1071"/>
      <c r="M98" s="533"/>
      <c r="N98" s="533"/>
      <c r="O98" s="533"/>
      <c r="P98" s="533"/>
      <c r="Q98" s="533"/>
      <c r="R98" s="533"/>
      <c r="S98" s="533"/>
      <c r="T98" s="533"/>
      <c r="U98" s="533"/>
    </row>
    <row r="99" spans="1:21" customHeight="1" ht="18" s="9" customFormat="1">
      <c r="A99" s="950" t="s">
        <v>213</v>
      </c>
      <c r="B99" s="15"/>
      <c r="C99" s="15"/>
      <c r="D99" s="15"/>
      <c r="E99" s="15"/>
      <c r="F99" s="15"/>
      <c r="G99" s="213"/>
      <c r="H99" s="1201"/>
      <c r="I99" s="1201"/>
      <c r="J99" s="1201"/>
      <c r="K99" s="949"/>
      <c r="L99" s="1071"/>
      <c r="M99" s="533"/>
      <c r="N99" s="533"/>
      <c r="O99" s="533"/>
      <c r="P99" s="533"/>
      <c r="Q99" s="533"/>
      <c r="R99" s="533"/>
      <c r="S99" s="533"/>
      <c r="T99" s="533"/>
      <c r="U99" s="533"/>
    </row>
    <row r="100" spans="1:21" customHeight="1" ht="18" s="9" customFormat="1">
      <c r="B100" s="9" t="s">
        <v>142</v>
      </c>
      <c r="C100" s="27"/>
      <c r="D100" s="27"/>
      <c r="E100" s="27"/>
      <c r="F100" s="951"/>
      <c r="G100" s="238" t="s">
        <v>143</v>
      </c>
      <c r="H100" s="1202">
        <v>0</v>
      </c>
      <c r="I100" s="1202">
        <v>80000</v>
      </c>
      <c r="J100" s="619">
        <f>K100-I100</f>
        <v>220000</v>
      </c>
      <c r="K100" s="954">
        <v>300000</v>
      </c>
      <c r="L100" s="1072">
        <v>150000</v>
      </c>
      <c r="M100" s="533"/>
      <c r="N100" s="533"/>
      <c r="O100" s="533"/>
      <c r="P100" s="533"/>
      <c r="Q100" s="533"/>
      <c r="R100" s="533"/>
      <c r="S100" s="533"/>
      <c r="T100" s="533"/>
      <c r="U100" s="533"/>
    </row>
    <row r="101" spans="1:21" customHeight="1" ht="18" s="968" customFormat="1">
      <c r="A101" s="956" t="s">
        <v>702</v>
      </c>
      <c r="B101" s="957"/>
      <c r="C101" s="957"/>
      <c r="D101" s="957"/>
      <c r="E101" s="957"/>
      <c r="F101" s="957"/>
      <c r="G101" s="966"/>
      <c r="H101" s="1199">
        <f>SUM(H100:H100)</f>
        <v>0</v>
      </c>
      <c r="I101" s="1199">
        <f>SUM(I100:I100)</f>
        <v>80000</v>
      </c>
      <c r="J101" s="1199">
        <f>SUM(J100:J100)</f>
        <v>220000</v>
      </c>
      <c r="K101" s="1199">
        <f>SUM(K100:K100)</f>
        <v>300000</v>
      </c>
      <c r="L101" s="974">
        <f>SUM(L100:L100)</f>
        <v>150000</v>
      </c>
      <c r="M101" s="1203"/>
      <c r="N101" s="1203"/>
      <c r="O101" s="1203"/>
      <c r="P101" s="1203"/>
      <c r="Q101" s="1203"/>
      <c r="R101" s="1203"/>
      <c r="S101" s="1203"/>
      <c r="T101" s="1203"/>
      <c r="U101" s="1203"/>
    </row>
    <row r="102" spans="1:21" customHeight="1" ht="15" s="9" customFormat="1">
      <c r="B102" s="1075"/>
      <c r="C102" s="1204"/>
      <c r="D102" s="27"/>
      <c r="E102" s="27"/>
      <c r="F102" s="951"/>
      <c r="G102" s="238"/>
      <c r="H102" s="238"/>
      <c r="I102" s="238"/>
      <c r="J102" s="1209"/>
      <c r="K102" s="949"/>
      <c r="L102" s="1071"/>
      <c r="M102" s="529"/>
      <c r="N102" s="529"/>
      <c r="O102" s="529"/>
      <c r="P102" s="529"/>
      <c r="Q102" s="529"/>
      <c r="R102" s="529"/>
      <c r="S102" s="529"/>
      <c r="T102" s="529"/>
      <c r="U102" s="529"/>
    </row>
    <row r="103" spans="1:21" customHeight="1" ht="15" s="9" customFormat="1">
      <c r="B103" s="1075"/>
      <c r="C103" s="1204"/>
      <c r="D103" s="27"/>
      <c r="E103" s="27"/>
      <c r="F103" s="951"/>
      <c r="G103" s="238"/>
      <c r="H103" s="1200"/>
      <c r="I103" s="238"/>
      <c r="J103" s="1209"/>
      <c r="K103" s="949"/>
      <c r="L103" s="1071"/>
      <c r="M103" s="529"/>
      <c r="N103" s="529"/>
      <c r="O103" s="529"/>
      <c r="P103" s="529"/>
      <c r="Q103" s="529"/>
      <c r="R103" s="529"/>
      <c r="S103" s="529"/>
      <c r="T103" s="529"/>
      <c r="U103" s="529"/>
    </row>
    <row r="104" spans="1:21" customHeight="1" ht="15" s="9" customFormat="1">
      <c r="B104" s="1075"/>
      <c r="C104" s="1204"/>
      <c r="D104" s="27"/>
      <c r="E104" s="27"/>
      <c r="F104" s="951"/>
      <c r="G104" s="238"/>
      <c r="H104" s="1200"/>
      <c r="I104" s="238"/>
      <c r="J104" s="1209"/>
      <c r="K104" s="949"/>
      <c r="L104" s="1071"/>
      <c r="M104" s="529"/>
      <c r="N104" s="529"/>
      <c r="O104" s="529"/>
      <c r="P104" s="529"/>
      <c r="Q104" s="529"/>
      <c r="R104" s="529"/>
      <c r="S104" s="529"/>
      <c r="T104" s="529"/>
      <c r="U104" s="529"/>
    </row>
    <row r="105" spans="1:21" customHeight="1" ht="20.1" s="9" customFormat="1">
      <c r="A105" s="948" t="s">
        <v>703</v>
      </c>
      <c r="B105" s="15"/>
      <c r="C105" s="15"/>
      <c r="D105" s="15"/>
      <c r="E105" s="15"/>
      <c r="F105" s="15"/>
      <c r="G105" s="213"/>
      <c r="H105" s="1201"/>
      <c r="I105" s="1201"/>
      <c r="J105" s="1201"/>
      <c r="K105" s="949"/>
      <c r="L105" s="1071"/>
      <c r="M105" s="533"/>
      <c r="N105" s="533"/>
      <c r="O105" s="533"/>
      <c r="P105" s="533"/>
      <c r="Q105" s="533"/>
      <c r="R105" s="533"/>
      <c r="S105" s="533"/>
      <c r="T105" s="533"/>
      <c r="U105" s="533"/>
    </row>
    <row r="106" spans="1:21" customHeight="1" ht="20.1" s="9" customFormat="1">
      <c r="A106" s="950" t="s">
        <v>213</v>
      </c>
      <c r="B106" s="15"/>
      <c r="C106" s="15"/>
      <c r="D106" s="15"/>
      <c r="E106" s="15"/>
      <c r="F106" s="15"/>
      <c r="G106" s="213"/>
      <c r="H106" s="1201"/>
      <c r="I106" s="1201"/>
      <c r="J106" s="1201"/>
      <c r="K106" s="949"/>
      <c r="L106" s="1071"/>
      <c r="M106" s="533"/>
      <c r="N106" s="533"/>
      <c r="O106" s="533"/>
      <c r="P106" s="533"/>
      <c r="Q106" s="533"/>
      <c r="R106" s="533"/>
      <c r="S106" s="533"/>
      <c r="T106" s="533"/>
      <c r="U106" s="533"/>
    </row>
    <row r="107" spans="1:21" customHeight="1" ht="20.1" s="9" customFormat="1">
      <c r="B107" s="9" t="s">
        <v>142</v>
      </c>
      <c r="C107" s="27"/>
      <c r="D107" s="27"/>
      <c r="E107" s="27"/>
      <c r="F107" s="951"/>
      <c r="G107" s="238" t="s">
        <v>143</v>
      </c>
      <c r="H107" s="1202">
        <v>0</v>
      </c>
      <c r="I107" s="1202">
        <v>0</v>
      </c>
      <c r="J107" s="619">
        <f>K107-I107</f>
        <v>1000000</v>
      </c>
      <c r="K107" s="954">
        <v>1000000</v>
      </c>
      <c r="L107" s="1072">
        <v>300000</v>
      </c>
      <c r="M107" s="533"/>
      <c r="N107" s="533"/>
      <c r="O107" s="533"/>
      <c r="P107" s="533"/>
      <c r="Q107" s="533"/>
      <c r="R107" s="533"/>
      <c r="S107" s="533"/>
      <c r="T107" s="533"/>
      <c r="U107" s="533"/>
    </row>
    <row r="108" spans="1:21" customHeight="1" ht="20.1" s="968" customFormat="1">
      <c r="A108" s="956" t="s">
        <v>704</v>
      </c>
      <c r="B108" s="957"/>
      <c r="C108" s="957"/>
      <c r="D108" s="957"/>
      <c r="E108" s="957"/>
      <c r="F108" s="957"/>
      <c r="G108" s="966"/>
      <c r="H108" s="1199">
        <f>SUM(H107:H107)</f>
        <v>0</v>
      </c>
      <c r="I108" s="1199">
        <f>SUM(I107:I107)</f>
        <v>0</v>
      </c>
      <c r="J108" s="1199">
        <f>SUM(J107:J107)</f>
        <v>1000000</v>
      </c>
      <c r="K108" s="1199">
        <f>SUM(K107:K107)</f>
        <v>1000000</v>
      </c>
      <c r="L108" s="974">
        <f>SUM(L107:L107)</f>
        <v>300000</v>
      </c>
      <c r="M108" s="1203"/>
      <c r="N108" s="1203"/>
      <c r="O108" s="1203"/>
      <c r="P108" s="1203"/>
      <c r="Q108" s="1203"/>
      <c r="R108" s="1203"/>
      <c r="S108" s="1203"/>
      <c r="T108" s="1203"/>
      <c r="U108" s="1203"/>
    </row>
    <row r="109" spans="1:21" customHeight="1" ht="20.1" s="10" customFormat="1">
      <c r="A109" s="1500"/>
      <c r="B109" s="1501"/>
      <c r="C109" s="1501"/>
      <c r="D109" s="1502"/>
      <c r="E109" s="391"/>
      <c r="F109" s="660"/>
      <c r="G109" s="987"/>
      <c r="H109" s="987"/>
      <c r="I109" s="1210"/>
      <c r="J109" s="1210"/>
      <c r="K109" s="1210"/>
      <c r="L109" s="1211"/>
      <c r="M109" s="988"/>
      <c r="N109" s="988"/>
      <c r="O109" s="988"/>
      <c r="P109" s="989"/>
      <c r="Q109" s="989"/>
      <c r="R109" s="989"/>
      <c r="S109" s="989"/>
      <c r="T109" s="989"/>
      <c r="U109" s="989"/>
    </row>
    <row r="110" spans="1:21" customHeight="1" ht="20.1" s="550" customFormat="1">
      <c r="A110" s="18" t="s">
        <v>252</v>
      </c>
      <c r="B110" s="18"/>
      <c r="C110" s="18"/>
      <c r="D110" s="18"/>
      <c r="E110" s="18"/>
      <c r="F110" s="18"/>
      <c r="G110" s="219"/>
      <c r="H110" s="990">
        <f>H108+H101+H96+H89+H83+H78+H73+H68</f>
        <v>0</v>
      </c>
      <c r="I110" s="990">
        <f>I108+I101+I96+I89+I83+I78+I73+I68</f>
        <v>568630.75</v>
      </c>
      <c r="J110" s="990">
        <f>J108+J101+J96+J89+J83+J78+J73+J68</f>
        <v>2371369.25</v>
      </c>
      <c r="K110" s="990">
        <f>K108+K101+K96+K89+K83+K78+K73+K68</f>
        <v>2940000</v>
      </c>
      <c r="L110" s="991">
        <f>L108+L101+L96+L89+L83+L78+L73+L68</f>
        <v>1250000</v>
      </c>
      <c r="M110" s="590"/>
      <c r="N110" s="590"/>
      <c r="O110" s="590"/>
      <c r="P110" s="549"/>
      <c r="Q110" s="549"/>
      <c r="R110" s="549"/>
      <c r="S110" s="549"/>
      <c r="T110" s="549"/>
      <c r="U110" s="549"/>
    </row>
    <row r="111" spans="1:21" customHeight="1" ht="20.1">
      <c r="A111" s="992"/>
      <c r="B111" s="992"/>
      <c r="C111" s="992"/>
      <c r="D111" s="992"/>
      <c r="E111" s="992"/>
      <c r="F111" s="992"/>
      <c r="G111" s="993"/>
      <c r="H111" s="993"/>
      <c r="I111" s="1212"/>
      <c r="J111" s="1212"/>
      <c r="K111" s="1212"/>
      <c r="L111" s="1213"/>
      <c r="M111" s="553"/>
      <c r="N111" s="553"/>
      <c r="O111" s="553"/>
      <c r="P111" s="553"/>
      <c r="Q111" s="553"/>
      <c r="R111" s="553"/>
      <c r="S111" s="553"/>
      <c r="T111" s="553"/>
      <c r="U111" s="553"/>
    </row>
    <row r="112" spans="1:21" customHeight="1" ht="18" s="273" customFormat="1">
      <c r="A112" s="6"/>
      <c r="B112" s="6"/>
      <c r="G112" s="508"/>
      <c r="H112" s="508"/>
    </row>
    <row r="113" spans="1:21" customHeight="1" ht="18" s="9" customFormat="1">
      <c r="A113" s="9" t="s">
        <v>182</v>
      </c>
      <c r="I113" s="509"/>
      <c r="J113" s="509"/>
      <c r="K113" s="509"/>
      <c r="L113" s="509"/>
    </row>
    <row r="114" spans="1:21" customHeight="1" ht="18" s="9" customFormat="1">
      <c r="G114" s="510"/>
      <c r="H114" s="510"/>
      <c r="I114" s="510"/>
      <c r="J114" s="510"/>
      <c r="K114" s="510"/>
      <c r="L114" s="510"/>
    </row>
    <row r="115" spans="1:21" customHeight="1" ht="18" s="9" customFormat="1">
      <c r="A115" s="1493" t="s">
        <v>183</v>
      </c>
      <c r="B115" s="1493"/>
      <c r="C115" s="1493"/>
      <c r="D115" s="511"/>
      <c r="E115" s="511"/>
      <c r="F115" s="512" t="s">
        <v>184</v>
      </c>
      <c r="G115" s="509"/>
      <c r="H115" s="509"/>
      <c r="I115" s="509"/>
      <c r="J115" s="510" t="s">
        <v>185</v>
      </c>
      <c r="K115" s="1494"/>
      <c r="L115" s="1494"/>
    </row>
    <row r="116" spans="1:21" customHeight="1" ht="18" s="9" customFormat="1"/>
    <row r="117" spans="1:21" customHeight="1" ht="18" s="9" customFormat="1"/>
    <row r="118" spans="1:21" customHeight="1" ht="18" s="11" customFormat="1">
      <c r="A118" s="1489" t="s">
        <v>705</v>
      </c>
      <c r="B118" s="1489"/>
      <c r="C118" s="1489"/>
      <c r="D118" s="1489"/>
      <c r="E118" s="1489"/>
      <c r="F118" s="1489" t="s">
        <v>187</v>
      </c>
      <c r="G118" s="1489"/>
      <c r="H118" s="1489"/>
      <c r="I118" s="1489"/>
      <c r="J118" s="1489" t="s">
        <v>186</v>
      </c>
      <c r="K118" s="1489"/>
      <c r="L118" s="1489"/>
    </row>
    <row r="119" spans="1:21" customHeight="1" ht="12" s="11" customFormat="1">
      <c r="A119" s="1468" t="s">
        <v>706</v>
      </c>
      <c r="B119" s="1468"/>
      <c r="C119" s="1468"/>
      <c r="D119" s="1468"/>
      <c r="E119" s="1468"/>
      <c r="F119" s="1468" t="s">
        <v>189</v>
      </c>
      <c r="G119" s="1468"/>
      <c r="H119" s="1468"/>
      <c r="I119" s="1468"/>
      <c r="J119" s="1468" t="s">
        <v>188</v>
      </c>
      <c r="K119" s="1468"/>
      <c r="L119" s="1468"/>
    </row>
    <row r="120" spans="1:21" customHeight="1" ht="12" s="9" customFormat="1">
      <c r="A120" s="1468" t="s">
        <v>707</v>
      </c>
      <c r="B120" s="1468"/>
      <c r="C120" s="1468"/>
      <c r="D120" s="1468"/>
      <c r="E120" s="1468"/>
      <c r="F120" s="1468" t="s">
        <v>190</v>
      </c>
      <c r="G120" s="1468"/>
      <c r="H120" s="1468"/>
      <c r="I120" s="1468"/>
      <c r="J120" s="1468"/>
      <c r="K120" s="1468"/>
      <c r="L120" s="1468"/>
    </row>
    <row r="121" spans="1:21" customHeight="1" ht="6.7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598"/>
      <c r="M121" s="553"/>
      <c r="N121" s="553"/>
      <c r="O121" s="553"/>
      <c r="P121" s="553"/>
      <c r="Q121" s="553"/>
      <c r="R121" s="553"/>
      <c r="S121" s="553"/>
      <c r="T121" s="553"/>
      <c r="U121" s="553"/>
    </row>
    <row r="122" spans="1:21" customHeight="1" ht="15" s="11" customFormat="1">
      <c r="A122" s="342"/>
      <c r="B122" s="343"/>
      <c r="C122" s="342"/>
      <c r="D122" s="177"/>
      <c r="E122" s="177"/>
      <c r="F122" s="177"/>
      <c r="G122" s="344"/>
      <c r="H122" s="22"/>
      <c r="I122" s="22"/>
      <c r="J122" s="22"/>
      <c r="M122" s="817"/>
      <c r="N122" s="817"/>
      <c r="O122" s="817"/>
      <c r="P122" s="817"/>
      <c r="Q122" s="817"/>
      <c r="R122" s="817"/>
      <c r="S122" s="817"/>
      <c r="T122" s="817"/>
      <c r="U122" s="817"/>
    </row>
    <row r="123" spans="1:21" customHeight="1" ht="15">
      <c r="L123" s="995"/>
      <c r="M123" s="553"/>
      <c r="N123" s="553"/>
      <c r="O123" s="553"/>
      <c r="P123" s="553"/>
      <c r="Q123" s="553"/>
      <c r="R123" s="553"/>
      <c r="S123" s="553"/>
      <c r="T123" s="553"/>
      <c r="U123" s="553"/>
    </row>
    <row r="124" spans="1:21" customHeight="1" ht="16.5">
      <c r="A124" s="996"/>
      <c r="B124" s="4"/>
      <c r="C124" s="4"/>
      <c r="E124" s="997"/>
      <c r="F124" s="997"/>
      <c r="G124" s="997"/>
      <c r="H124" s="997"/>
      <c r="I124" s="997"/>
      <c r="J124" s="997"/>
      <c r="K124" s="997"/>
      <c r="L124" s="997"/>
      <c r="M124" s="553"/>
      <c r="N124" s="553"/>
      <c r="O124" s="553"/>
      <c r="P124" s="553"/>
      <c r="Q124" s="553"/>
      <c r="R124" s="553"/>
      <c r="S124" s="553"/>
      <c r="T124" s="553"/>
      <c r="U124" s="553"/>
    </row>
    <row r="125" spans="1:21" customHeight="1" ht="15">
      <c r="A125" s="4"/>
      <c r="B125" s="4"/>
      <c r="C125" s="11"/>
      <c r="D125" s="11"/>
      <c r="E125" s="997"/>
      <c r="F125" s="997"/>
      <c r="G125" s="997"/>
      <c r="H125" s="997"/>
      <c r="I125" s="1214">
        <f>I110+I58</f>
        <v>8807985.22</v>
      </c>
      <c r="J125" s="1214">
        <f>J110+J58</f>
        <v>13347975.18</v>
      </c>
      <c r="K125" s="1214">
        <f>K110+K58</f>
        <v>22155960.4</v>
      </c>
      <c r="L125" s="997"/>
      <c r="M125" s="553"/>
      <c r="N125" s="553"/>
      <c r="O125" s="553"/>
      <c r="P125" s="553"/>
      <c r="Q125" s="553"/>
      <c r="R125" s="553"/>
      <c r="S125" s="553"/>
      <c r="T125" s="553"/>
      <c r="U125" s="553"/>
    </row>
    <row r="126" spans="1:21">
      <c r="I126" s="9"/>
      <c r="J126" s="9"/>
      <c r="K126" s="77">
        <f>I125+J125</f>
        <v>22155960.4</v>
      </c>
    </row>
    <row r="127" spans="1:21">
      <c r="I127" s="9"/>
      <c r="J127" s="9"/>
      <c r="K127" s="77">
        <f>K125-K126</f>
        <v>-3.7252902984619E-9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115:L115"/>
    <mergeCell ref="A120:E120"/>
    <mergeCell ref="F120:I120"/>
    <mergeCell ref="J120:L120"/>
    <mergeCell ref="A118:E118"/>
    <mergeCell ref="F118:I118"/>
    <mergeCell ref="J118:L118"/>
    <mergeCell ref="A119:E119"/>
    <mergeCell ref="F119:I119"/>
    <mergeCell ref="J119:L119"/>
    <mergeCell ref="A15:F15"/>
    <mergeCell ref="B43:F43"/>
    <mergeCell ref="B44:F44"/>
    <mergeCell ref="A109:D109"/>
    <mergeCell ref="A115:C115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33"/>
  <sheetViews>
    <sheetView tabSelected="0" workbookViewId="0" view="pageBreakPreview" showGridLines="false" showRowColHeaders="1">
      <selection activeCell="V98" sqref="V98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3.85546875" customWidth="true" style="9"/>
    <col min="6" max="6" width="12" customWidth="true" style="9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11"/>
    <col min="12" max="12" width="16.7109375" customWidth="true" style="598"/>
    <col min="13" max="13" width="14.85546875" customWidth="true" style="0"/>
    <col min="14" max="14" width="12.7109375" customWidth="true" style="0"/>
  </cols>
  <sheetData>
    <row r="1" spans="1:21" customHeight="1" ht="9.95" s="173" customFormat="1">
      <c r="A1" s="173" t="s">
        <v>0</v>
      </c>
      <c r="J1" s="174"/>
      <c r="L1" s="175"/>
    </row>
    <row r="2" spans="1:21" customHeight="1" ht="9.95" s="173" customFormat="1">
      <c r="A2" s="173" t="s">
        <v>1</v>
      </c>
      <c r="J2" s="174"/>
      <c r="L2" s="175"/>
    </row>
    <row r="3" spans="1:21" customHeight="1" ht="9.95" s="173" customFormat="1">
      <c r="A3" s="173" t="s">
        <v>2</v>
      </c>
      <c r="J3" s="174"/>
      <c r="L3" s="175"/>
    </row>
    <row r="4" spans="1:21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21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21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21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21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708</v>
      </c>
    </row>
    <row r="9" spans="1:21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 t="s">
        <v>608</v>
      </c>
    </row>
    <row r="10" spans="1:21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21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21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21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21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21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21" customHeight="1" ht="17.1" s="754" customFormat="1">
      <c r="A16" s="15" t="s">
        <v>24</v>
      </c>
      <c r="B16" s="15"/>
      <c r="C16" s="15"/>
      <c r="D16" s="15"/>
      <c r="E16" s="15"/>
      <c r="F16" s="15"/>
      <c r="G16" s="526"/>
      <c r="H16" s="586"/>
      <c r="I16" s="586"/>
      <c r="J16" s="586"/>
      <c r="K16" s="551"/>
      <c r="L16" s="1215"/>
    </row>
    <row r="17" spans="1:21" customHeight="1" ht="17.1" s="754" customFormat="1">
      <c r="A17" s="734" t="s">
        <v>25</v>
      </c>
      <c r="B17" s="15"/>
      <c r="C17" s="15"/>
      <c r="D17" s="15"/>
      <c r="E17" s="15"/>
      <c r="F17" s="15"/>
      <c r="G17" s="532"/>
      <c r="H17" s="537"/>
      <c r="I17" s="537"/>
      <c r="J17" s="537"/>
      <c r="K17" s="551"/>
      <c r="L17" s="1215"/>
    </row>
    <row r="18" spans="1:21" customHeight="1" ht="17.1" s="2" customFormat="1">
      <c r="A18" s="9"/>
      <c r="B18" s="9" t="s">
        <v>709</v>
      </c>
      <c r="C18" s="9"/>
      <c r="D18" s="9"/>
      <c r="E18" s="9"/>
      <c r="F18" s="9"/>
      <c r="G18" s="213" t="s">
        <v>27</v>
      </c>
      <c r="H18" s="669">
        <v>2852796</v>
      </c>
      <c r="I18" s="669">
        <v>1428956.5</v>
      </c>
      <c r="J18" s="669">
        <f>K18-I18</f>
        <v>1524147.5</v>
      </c>
      <c r="K18" s="669">
        <v>2953104</v>
      </c>
      <c r="L18" s="670">
        <v>2932440</v>
      </c>
    </row>
    <row r="19" spans="1:21" customHeight="1" ht="17.1" s="2" customFormat="1">
      <c r="A19" s="9"/>
      <c r="B19" s="9" t="s">
        <v>28</v>
      </c>
      <c r="C19" s="9"/>
      <c r="D19" s="9"/>
      <c r="E19" s="9"/>
      <c r="F19" s="9"/>
      <c r="G19" s="213" t="s">
        <v>710</v>
      </c>
      <c r="H19" s="537">
        <v>120000</v>
      </c>
      <c r="I19" s="537">
        <v>59000</v>
      </c>
      <c r="J19" s="537">
        <f>K19-I19</f>
        <v>61000</v>
      </c>
      <c r="K19" s="537">
        <v>120000</v>
      </c>
      <c r="L19" s="533">
        <v>120000</v>
      </c>
    </row>
    <row r="20" spans="1:21" customHeight="1" ht="17.1" s="2" customFormat="1">
      <c r="A20" s="9"/>
      <c r="B20" s="9" t="s">
        <v>30</v>
      </c>
      <c r="C20" s="9"/>
      <c r="D20" s="9"/>
      <c r="E20" s="9"/>
      <c r="F20" s="9"/>
      <c r="G20" s="213" t="s">
        <v>31</v>
      </c>
      <c r="H20" s="537">
        <v>81000</v>
      </c>
      <c r="I20" s="537">
        <v>37125</v>
      </c>
      <c r="J20" s="537">
        <f>K20-I20</f>
        <v>43875</v>
      </c>
      <c r="K20" s="537">
        <v>81000</v>
      </c>
      <c r="L20" s="533">
        <v>81000</v>
      </c>
    </row>
    <row r="21" spans="1:21" customHeight="1" ht="17.1" s="2" customFormat="1">
      <c r="A21" s="9"/>
      <c r="B21" s="9" t="s">
        <v>32</v>
      </c>
      <c r="C21" s="9"/>
      <c r="D21" s="9"/>
      <c r="E21" s="9"/>
      <c r="F21" s="9"/>
      <c r="G21" s="213" t="s">
        <v>33</v>
      </c>
      <c r="H21" s="537">
        <v>81000</v>
      </c>
      <c r="I21" s="537">
        <v>37125</v>
      </c>
      <c r="J21" s="537">
        <f>K21-I21</f>
        <v>43875</v>
      </c>
      <c r="K21" s="537">
        <v>81000</v>
      </c>
      <c r="L21" s="533">
        <v>81000</v>
      </c>
    </row>
    <row r="22" spans="1:21" customHeight="1" ht="17.1" s="2" customFormat="1">
      <c r="A22" s="9"/>
      <c r="B22" s="9" t="s">
        <v>34</v>
      </c>
      <c r="C22" s="9"/>
      <c r="D22" s="9"/>
      <c r="E22" s="9"/>
      <c r="F22" s="9"/>
      <c r="G22" s="213" t="s">
        <v>35</v>
      </c>
      <c r="H22" s="537">
        <v>30000</v>
      </c>
      <c r="I22" s="537">
        <v>30000</v>
      </c>
      <c r="J22" s="537">
        <f>K22-I22</f>
        <v>0</v>
      </c>
      <c r="K22" s="537">
        <v>30000</v>
      </c>
      <c r="L22" s="533">
        <v>30000</v>
      </c>
    </row>
    <row r="23" spans="1:21" customHeight="1" ht="17.1" s="2" customFormat="1">
      <c r="A23" s="9"/>
      <c r="B23" s="9" t="s">
        <v>36</v>
      </c>
      <c r="C23" s="9"/>
      <c r="D23" s="9"/>
      <c r="E23" s="9"/>
      <c r="F23" s="9"/>
      <c r="G23" s="213" t="s">
        <v>37</v>
      </c>
      <c r="H23" s="537">
        <v>0</v>
      </c>
      <c r="I23" s="537">
        <v>10132.81</v>
      </c>
      <c r="J23" s="537">
        <f>K23-I23</f>
        <v>39867.19</v>
      </c>
      <c r="K23" s="537">
        <v>50000</v>
      </c>
      <c r="L23" s="533">
        <v>50000</v>
      </c>
    </row>
    <row r="24" spans="1:21" customHeight="1" ht="17.1" s="2" customFormat="1">
      <c r="A24" s="9"/>
      <c r="B24" s="9" t="s">
        <v>38</v>
      </c>
      <c r="C24" s="9"/>
      <c r="D24" s="9"/>
      <c r="E24" s="9"/>
      <c r="F24" s="9"/>
      <c r="G24" s="213" t="s">
        <v>39</v>
      </c>
      <c r="H24" s="537">
        <v>238729</v>
      </c>
      <c r="I24" s="537">
        <v>0</v>
      </c>
      <c r="J24" s="537">
        <f>K24-I24</f>
        <v>246092</v>
      </c>
      <c r="K24" s="537">
        <v>246092</v>
      </c>
      <c r="L24" s="533">
        <v>244370</v>
      </c>
    </row>
    <row r="25" spans="1:21" customHeight="1" ht="17.1" s="2" customFormat="1">
      <c r="A25" s="9"/>
      <c r="B25" s="9" t="s">
        <v>40</v>
      </c>
      <c r="C25" s="9"/>
      <c r="D25" s="9"/>
      <c r="E25" s="9"/>
      <c r="F25" s="9"/>
      <c r="G25" s="213" t="s">
        <v>41</v>
      </c>
      <c r="H25" s="537">
        <v>25000</v>
      </c>
      <c r="I25" s="537">
        <v>0</v>
      </c>
      <c r="J25" s="537">
        <f>K25-I25</f>
        <v>25000</v>
      </c>
      <c r="K25" s="537">
        <v>25000</v>
      </c>
      <c r="L25" s="533">
        <v>25000</v>
      </c>
    </row>
    <row r="26" spans="1:21" customHeight="1" ht="17.1" s="2" customFormat="1">
      <c r="A26" s="9"/>
      <c r="B26" s="9" t="s">
        <v>42</v>
      </c>
      <c r="C26" s="9"/>
      <c r="D26" s="539"/>
      <c r="E26" s="539"/>
      <c r="F26" s="539"/>
      <c r="G26" s="213" t="s">
        <v>43</v>
      </c>
      <c r="H26" s="537">
        <v>261701</v>
      </c>
      <c r="I26" s="537">
        <v>246433</v>
      </c>
      <c r="J26" s="537">
        <f>K26-I26</f>
        <v>24659</v>
      </c>
      <c r="K26" s="537">
        <v>271092</v>
      </c>
      <c r="L26" s="533">
        <f>SUM(F27:F28)</f>
        <v>269370</v>
      </c>
    </row>
    <row r="27" spans="1:21" customHeight="1" ht="17.1" s="2" customFormat="1">
      <c r="A27" s="9"/>
      <c r="B27" s="29" t="s">
        <v>44</v>
      </c>
      <c r="C27" s="29"/>
      <c r="D27" s="539"/>
      <c r="E27" s="539"/>
      <c r="F27" s="539">
        <f>L24</f>
        <v>244370</v>
      </c>
      <c r="G27" s="213"/>
      <c r="H27" s="537"/>
      <c r="I27" s="537"/>
      <c r="J27" s="537"/>
      <c r="K27" s="537"/>
      <c r="L27" s="533"/>
    </row>
    <row r="28" spans="1:21" customHeight="1" ht="17.1" s="2" customFormat="1">
      <c r="A28" s="9"/>
      <c r="B28" s="29" t="s">
        <v>45</v>
      </c>
      <c r="C28" s="29"/>
      <c r="D28" s="539"/>
      <c r="E28" s="539"/>
      <c r="F28" s="618">
        <v>25000</v>
      </c>
      <c r="G28" s="213"/>
      <c r="H28" s="537"/>
      <c r="I28" s="537"/>
      <c r="J28" s="537"/>
      <c r="K28" s="537"/>
      <c r="L28" s="533"/>
    </row>
    <row r="29" spans="1:21" customHeight="1" ht="17.1" s="2" customFormat="1">
      <c r="A29" s="9"/>
      <c r="B29" s="9" t="s">
        <v>46</v>
      </c>
      <c r="C29" s="9"/>
      <c r="D29" s="9"/>
      <c r="E29" s="9"/>
      <c r="F29" s="9"/>
      <c r="G29" s="213" t="s">
        <v>47</v>
      </c>
      <c r="H29" s="537">
        <v>342335.52</v>
      </c>
      <c r="I29" s="537">
        <v>171474.78</v>
      </c>
      <c r="J29" s="537">
        <f>K29-I29</f>
        <v>182897.7</v>
      </c>
      <c r="K29" s="537">
        <v>354372.48</v>
      </c>
      <c r="L29" s="533">
        <v>351892.8</v>
      </c>
    </row>
    <row r="30" spans="1:21" customHeight="1" ht="17.1" s="2" customFormat="1">
      <c r="A30" s="9"/>
      <c r="B30" s="9" t="s">
        <v>48</v>
      </c>
      <c r="C30" s="9"/>
      <c r="D30" s="9"/>
      <c r="E30" s="9"/>
      <c r="F30" s="9"/>
      <c r="G30" s="213" t="s">
        <v>49</v>
      </c>
      <c r="H30" s="537">
        <v>6000</v>
      </c>
      <c r="I30" s="537">
        <v>3000</v>
      </c>
      <c r="J30" s="537">
        <f>K30-I30</f>
        <v>3000</v>
      </c>
      <c r="K30" s="537">
        <v>6000</v>
      </c>
      <c r="L30" s="533">
        <v>6000</v>
      </c>
    </row>
    <row r="31" spans="1:21" customHeight="1" ht="17.1" s="2" customFormat="1">
      <c r="A31" s="9"/>
      <c r="B31" s="9" t="s">
        <v>50</v>
      </c>
      <c r="C31" s="9"/>
      <c r="D31" s="9"/>
      <c r="E31" s="9"/>
      <c r="F31" s="9"/>
      <c r="G31" s="213" t="s">
        <v>51</v>
      </c>
      <c r="H31" s="537">
        <v>35891.89</v>
      </c>
      <c r="I31" s="537">
        <v>18412.9</v>
      </c>
      <c r="J31" s="537">
        <f>K31-I31</f>
        <v>35858.06</v>
      </c>
      <c r="K31" s="537">
        <v>54270.96</v>
      </c>
      <c r="L31" s="533">
        <v>65326.23</v>
      </c>
    </row>
    <row r="32" spans="1:21" customHeight="1" ht="17.1" s="2" customFormat="1">
      <c r="A32" s="9"/>
      <c r="B32" s="9" t="s">
        <v>52</v>
      </c>
      <c r="C32" s="9"/>
      <c r="D32" s="9"/>
      <c r="E32" s="9"/>
      <c r="F32" s="9"/>
      <c r="G32" s="213" t="s">
        <v>53</v>
      </c>
      <c r="H32" s="537">
        <v>6000</v>
      </c>
      <c r="I32" s="537">
        <v>3000</v>
      </c>
      <c r="J32" s="537">
        <f>K32-I32</f>
        <v>3000</v>
      </c>
      <c r="K32" s="537">
        <v>6000</v>
      </c>
      <c r="L32" s="533">
        <v>6000</v>
      </c>
    </row>
    <row r="33" spans="1:21" customHeight="1" ht="17.1" s="2" customFormat="1">
      <c r="A33" s="9"/>
      <c r="B33" s="9" t="s">
        <v>58</v>
      </c>
      <c r="C33" s="9"/>
      <c r="D33" s="9"/>
      <c r="E33" s="9"/>
      <c r="F33" s="9"/>
      <c r="G33" s="213" t="s">
        <v>59</v>
      </c>
      <c r="H33" s="541">
        <v>125000</v>
      </c>
      <c r="I33" s="541">
        <v>0</v>
      </c>
      <c r="J33" s="541">
        <v>0</v>
      </c>
      <c r="K33" s="541">
        <v>0</v>
      </c>
      <c r="L33" s="557">
        <v>0</v>
      </c>
    </row>
    <row r="34" spans="1:21" customHeight="1" ht="17.1" s="550" customFormat="1">
      <c r="A34" s="543" t="s">
        <v>256</v>
      </c>
      <c r="B34" s="543"/>
      <c r="C34" s="543"/>
      <c r="D34" s="543"/>
      <c r="E34" s="543"/>
      <c r="F34" s="543"/>
      <c r="G34" s="545"/>
      <c r="H34" s="546">
        <f>SUM(H18:H33)</f>
        <v>4205453.41</v>
      </c>
      <c r="I34" s="546">
        <f>SUM(I18:I33)</f>
        <v>2044659.99</v>
      </c>
      <c r="J34" s="546">
        <f>SUM(J18:J33)</f>
        <v>2233271.45</v>
      </c>
      <c r="K34" s="546">
        <f>SUM(K18:K33)</f>
        <v>4277931.44</v>
      </c>
      <c r="L34" s="547">
        <f>SUM(L18:L33)</f>
        <v>4262399.03</v>
      </c>
      <c r="M34" s="1008">
        <f>L34-L23</f>
        <v>4212399.03</v>
      </c>
    </row>
    <row r="35" spans="1:21" customHeight="1" ht="17.1" s="550" customFormat="1">
      <c r="A35" s="6"/>
      <c r="B35" s="6"/>
      <c r="C35" s="6"/>
      <c r="D35" s="6"/>
      <c r="E35" s="6"/>
      <c r="F35" s="6"/>
      <c r="G35" s="243"/>
      <c r="H35" s="627"/>
      <c r="I35" s="627"/>
      <c r="J35" s="627"/>
      <c r="K35" s="627"/>
      <c r="L35" s="629"/>
      <c r="M35" s="1008"/>
    </row>
    <row r="36" spans="1:21" customHeight="1" ht="17.1" s="11" customFormat="1">
      <c r="A36" s="706" t="s">
        <v>292</v>
      </c>
      <c r="B36" s="15"/>
      <c r="C36" s="15"/>
      <c r="D36" s="15"/>
      <c r="E36" s="15"/>
      <c r="F36" s="15"/>
      <c r="G36" s="213"/>
      <c r="H36" s="213"/>
      <c r="I36" s="213"/>
      <c r="J36" s="213"/>
      <c r="K36" s="801"/>
      <c r="L36" s="598"/>
    </row>
    <row r="37" spans="1:21" customHeight="1" ht="17.1" s="2" customFormat="1">
      <c r="B37" s="9" t="s">
        <v>63</v>
      </c>
      <c r="C37" s="9"/>
      <c r="D37" s="9"/>
      <c r="E37" s="9"/>
      <c r="F37" s="9"/>
      <c r="G37" s="238" t="s">
        <v>64</v>
      </c>
      <c r="H37" s="645">
        <v>0</v>
      </c>
      <c r="I37" s="645">
        <v>57070</v>
      </c>
      <c r="J37" s="537">
        <f>K37-I37</f>
        <v>242930</v>
      </c>
      <c r="K37" s="645">
        <v>300000</v>
      </c>
      <c r="L37" s="615">
        <v>150000</v>
      </c>
    </row>
    <row r="38" spans="1:21" customHeight="1" ht="17.1" s="2" customFormat="1">
      <c r="B38" s="9" t="s">
        <v>72</v>
      </c>
      <c r="C38" s="9"/>
      <c r="D38" s="9"/>
      <c r="E38" s="9"/>
      <c r="F38" s="9"/>
      <c r="G38" s="238" t="s">
        <v>73</v>
      </c>
      <c r="H38" s="537">
        <v>0</v>
      </c>
      <c r="I38" s="537">
        <v>0</v>
      </c>
      <c r="J38" s="537">
        <f>K38-I38</f>
        <v>100000</v>
      </c>
      <c r="K38" s="537">
        <v>100000</v>
      </c>
      <c r="L38" s="533">
        <v>80000</v>
      </c>
    </row>
    <row r="39" spans="1:21" customHeight="1" ht="17.1" s="2" customFormat="1">
      <c r="B39" s="9" t="s">
        <v>234</v>
      </c>
      <c r="C39" s="9"/>
      <c r="D39" s="9"/>
      <c r="E39" s="9"/>
      <c r="F39" s="9"/>
      <c r="G39" s="238" t="s">
        <v>77</v>
      </c>
      <c r="H39" s="666">
        <v>84916</v>
      </c>
      <c r="I39" s="666">
        <v>45119.2</v>
      </c>
      <c r="J39" s="537">
        <f>K39-I39</f>
        <v>44880.8</v>
      </c>
      <c r="K39" s="537">
        <v>90000</v>
      </c>
      <c r="L39" s="533">
        <v>90000</v>
      </c>
    </row>
    <row r="40" spans="1:21" customHeight="1" ht="17.1" s="2" customFormat="1">
      <c r="B40" s="9" t="s">
        <v>79</v>
      </c>
      <c r="C40" s="9"/>
      <c r="D40" s="9"/>
      <c r="E40" s="9"/>
      <c r="F40" s="9"/>
      <c r="G40" s="238" t="s">
        <v>80</v>
      </c>
      <c r="H40" s="537">
        <v>2599943.54</v>
      </c>
      <c r="I40" s="537">
        <v>649000</v>
      </c>
      <c r="J40" s="537">
        <f>K40-I40</f>
        <v>3351000</v>
      </c>
      <c r="K40" s="537">
        <v>4000000</v>
      </c>
      <c r="L40" s="533">
        <v>4000000</v>
      </c>
    </row>
    <row r="41" spans="1:21" customHeight="1" ht="17.1" s="2" customFormat="1">
      <c r="B41" s="9" t="s">
        <v>81</v>
      </c>
      <c r="C41" s="9"/>
      <c r="D41" s="9"/>
      <c r="E41" s="9"/>
      <c r="F41" s="9"/>
      <c r="G41" s="213" t="s">
        <v>82</v>
      </c>
      <c r="H41" s="586">
        <v>222633.6</v>
      </c>
      <c r="I41" s="586">
        <v>61076</v>
      </c>
      <c r="J41" s="537">
        <f>K41-I41</f>
        <v>238924</v>
      </c>
      <c r="K41" s="537">
        <v>300000</v>
      </c>
      <c r="L41" s="533">
        <v>150000</v>
      </c>
    </row>
    <row r="42" spans="1:21" customHeight="1" ht="17.1" s="2" customFormat="1">
      <c r="B42" s="9" t="s">
        <v>283</v>
      </c>
      <c r="C42" s="9"/>
      <c r="D42" s="9"/>
      <c r="E42" s="9"/>
      <c r="F42" s="9"/>
      <c r="G42" s="238" t="s">
        <v>96</v>
      </c>
      <c r="H42" s="537">
        <v>19318.8</v>
      </c>
      <c r="I42" s="537">
        <v>6231.88</v>
      </c>
      <c r="J42" s="537">
        <f>K42-I42</f>
        <v>23768.12</v>
      </c>
      <c r="K42" s="537">
        <v>30000</v>
      </c>
      <c r="L42" s="533">
        <v>30000</v>
      </c>
    </row>
    <row r="43" spans="1:21" customHeight="1" ht="17.1" s="2" customFormat="1">
      <c r="B43" s="9" t="s">
        <v>711</v>
      </c>
      <c r="C43" s="9"/>
      <c r="D43" s="9"/>
      <c r="E43" s="9"/>
      <c r="F43" s="9"/>
      <c r="G43" s="238" t="s">
        <v>100</v>
      </c>
      <c r="H43" s="537">
        <v>21000</v>
      </c>
      <c r="I43" s="537">
        <v>0</v>
      </c>
      <c r="J43" s="537">
        <f>K43-I43</f>
        <v>30000</v>
      </c>
      <c r="K43" s="537">
        <v>30000</v>
      </c>
      <c r="L43" s="533">
        <v>30000</v>
      </c>
    </row>
    <row r="44" spans="1:21" customHeight="1" ht="17.1" s="2" customFormat="1">
      <c r="B44" s="9" t="s">
        <v>712</v>
      </c>
      <c r="C44" s="9"/>
      <c r="D44" s="9"/>
      <c r="E44" s="9"/>
      <c r="F44" s="9"/>
      <c r="G44" s="238" t="s">
        <v>102</v>
      </c>
      <c r="H44" s="537">
        <v>430130</v>
      </c>
      <c r="I44" s="537">
        <v>215534</v>
      </c>
      <c r="J44" s="537">
        <f>K44-I44</f>
        <v>984466</v>
      </c>
      <c r="K44" s="537">
        <v>1200000</v>
      </c>
      <c r="L44" s="533">
        <v>1000000</v>
      </c>
    </row>
    <row r="45" spans="1:21" customHeight="1" ht="17.1" s="2" customFormat="1">
      <c r="B45" s="9" t="s">
        <v>713</v>
      </c>
      <c r="C45" s="9"/>
      <c r="D45" s="9"/>
      <c r="E45" s="9"/>
      <c r="F45" s="9"/>
      <c r="G45" s="238" t="s">
        <v>429</v>
      </c>
      <c r="H45" s="537">
        <v>25920</v>
      </c>
      <c r="I45" s="537">
        <v>0</v>
      </c>
      <c r="J45" s="537">
        <f>K45-I45</f>
        <v>350000</v>
      </c>
      <c r="K45" s="537">
        <v>350000</v>
      </c>
      <c r="L45" s="533">
        <v>300000</v>
      </c>
    </row>
    <row r="46" spans="1:21" customHeight="1" ht="17.1" s="2" customFormat="1">
      <c r="B46" s="9" t="s">
        <v>142</v>
      </c>
      <c r="C46" s="9"/>
      <c r="D46" s="9"/>
      <c r="E46" s="9"/>
      <c r="F46" s="9"/>
      <c r="G46" s="238" t="s">
        <v>143</v>
      </c>
      <c r="H46" s="586">
        <v>521033.91</v>
      </c>
      <c r="I46" s="586">
        <f>58599.37+198000</f>
        <v>256599.37</v>
      </c>
      <c r="J46" s="537">
        <f>K46-I46</f>
        <v>443400.63</v>
      </c>
      <c r="K46" s="586">
        <f>502000+198000</f>
        <v>700000</v>
      </c>
      <c r="L46" s="511">
        <f>SUM(F47:F48)</f>
        <v>398000</v>
      </c>
    </row>
    <row r="47" spans="1:21" customHeight="1" ht="17.1" s="2" customFormat="1">
      <c r="B47" s="28" t="s">
        <v>65</v>
      </c>
      <c r="C47" s="9"/>
      <c r="D47" s="9"/>
      <c r="E47" s="9"/>
      <c r="F47" s="909">
        <v>200000</v>
      </c>
      <c r="G47" s="238"/>
      <c r="H47" s="586"/>
      <c r="I47" s="586"/>
      <c r="J47" s="537"/>
      <c r="K47" s="586"/>
      <c r="L47" s="511"/>
    </row>
    <row r="48" spans="1:21" customHeight="1" ht="17.1" s="2" customFormat="1">
      <c r="B48" s="28" t="s">
        <v>714</v>
      </c>
      <c r="C48" s="9"/>
      <c r="D48" s="9"/>
      <c r="E48" s="9"/>
      <c r="F48" s="910">
        <v>198000</v>
      </c>
      <c r="G48" s="238"/>
      <c r="H48" s="586"/>
      <c r="I48" s="586"/>
      <c r="J48" s="586"/>
      <c r="K48" s="586"/>
      <c r="L48" s="511"/>
    </row>
    <row r="49" spans="1:21" customHeight="1" ht="17.1" s="2" customFormat="1">
      <c r="B49" s="5" t="s">
        <v>150</v>
      </c>
      <c r="C49" s="9"/>
      <c r="D49" s="9"/>
      <c r="E49" s="9"/>
      <c r="F49" s="9"/>
      <c r="G49" s="238" t="s">
        <v>107</v>
      </c>
      <c r="H49" s="586">
        <v>2784100</v>
      </c>
      <c r="I49" s="586">
        <v>1177395.27</v>
      </c>
      <c r="J49" s="537">
        <f>K49-I49</f>
        <v>1222604.73</v>
      </c>
      <c r="K49" s="586">
        <v>2400000</v>
      </c>
      <c r="L49" s="511">
        <v>1800000</v>
      </c>
    </row>
    <row r="50" spans="1:21" customHeight="1" ht="17.1" s="2" customFormat="1">
      <c r="B50" s="26" t="s">
        <v>715</v>
      </c>
      <c r="C50" s="9"/>
      <c r="D50" s="9"/>
      <c r="E50" s="9"/>
      <c r="F50" s="9"/>
      <c r="G50" s="238"/>
      <c r="H50" s="586"/>
      <c r="I50" s="586"/>
      <c r="J50" s="586"/>
      <c r="K50" s="586"/>
      <c r="L50" s="511"/>
    </row>
    <row r="51" spans="1:21" customHeight="1" ht="17.1" s="2" customFormat="1">
      <c r="B51" s="28" t="s">
        <v>716</v>
      </c>
      <c r="C51" s="9"/>
      <c r="D51" s="9"/>
      <c r="E51" s="9"/>
      <c r="F51" s="9"/>
      <c r="G51" s="238"/>
      <c r="H51" s="588">
        <v>0</v>
      </c>
      <c r="I51" s="588">
        <v>0</v>
      </c>
      <c r="J51" s="588">
        <v>0</v>
      </c>
      <c r="K51" s="588">
        <v>0</v>
      </c>
      <c r="L51" s="651">
        <v>0</v>
      </c>
    </row>
    <row r="52" spans="1:21" customHeight="1" ht="17.1" s="550" customFormat="1">
      <c r="A52" s="6" t="s">
        <v>160</v>
      </c>
      <c r="B52" s="6"/>
      <c r="C52" s="6"/>
      <c r="D52" s="6"/>
      <c r="E52" s="6"/>
      <c r="F52" s="6"/>
      <c r="G52" s="243"/>
      <c r="H52" s="627">
        <f>SUM(H37:H51)</f>
        <v>6708995.85</v>
      </c>
      <c r="I52" s="627">
        <f>SUM(I37:I51)</f>
        <v>2468025.72</v>
      </c>
      <c r="J52" s="627">
        <f>SUM(J37:J51)</f>
        <v>7031974.28</v>
      </c>
      <c r="K52" s="627">
        <f>SUM(K37:K51)</f>
        <v>9500000</v>
      </c>
      <c r="L52" s="713">
        <f>SUM(L37:L51)</f>
        <v>8028000</v>
      </c>
    </row>
    <row r="53" spans="1:21" customHeight="1" ht="17.1" s="1216" customFormat="1">
      <c r="A53" s="543" t="s">
        <v>161</v>
      </c>
      <c r="B53" s="543"/>
      <c r="C53" s="543"/>
      <c r="D53" s="543"/>
      <c r="E53" s="543"/>
      <c r="F53" s="543"/>
      <c r="G53" s="545"/>
      <c r="H53" s="546">
        <f>+H52+H34</f>
        <v>10914449.26</v>
      </c>
      <c r="I53" s="546">
        <f>+I52+I34</f>
        <v>4512685.71</v>
      </c>
      <c r="J53" s="546">
        <f>+J52+J34</f>
        <v>9265245.73</v>
      </c>
      <c r="K53" s="546">
        <f>+K52+K34</f>
        <v>13777931.44</v>
      </c>
      <c r="L53" s="624">
        <f>+L52+L34</f>
        <v>12290399.03</v>
      </c>
    </row>
    <row r="54" spans="1:21" customHeight="1" ht="24.95" s="1216" customFormat="1">
      <c r="A54" s="6"/>
      <c r="B54" s="6"/>
      <c r="C54" s="6"/>
      <c r="D54" s="6"/>
      <c r="E54" s="6"/>
      <c r="F54" s="6"/>
      <c r="G54" s="243"/>
      <c r="H54" s="627"/>
      <c r="I54" s="627"/>
      <c r="J54" s="627"/>
      <c r="K54" s="627"/>
      <c r="L54" s="629"/>
    </row>
    <row r="55" spans="1:21" customHeight="1" ht="24.95" s="1217" customFormat="1">
      <c r="A55" s="706" t="s">
        <v>162</v>
      </c>
      <c r="B55" s="15"/>
      <c r="C55" s="15"/>
      <c r="D55" s="15"/>
      <c r="E55" s="15"/>
      <c r="F55" s="15"/>
      <c r="G55" s="213"/>
      <c r="H55" s="537"/>
      <c r="I55" s="537"/>
      <c r="J55" s="537"/>
      <c r="K55" s="527"/>
      <c r="L55" s="533"/>
    </row>
    <row r="56" spans="1:21" customHeight="1" ht="24.95" s="2" customFormat="1">
      <c r="B56" s="5" t="s">
        <v>163</v>
      </c>
      <c r="C56" s="9"/>
      <c r="D56" s="9"/>
      <c r="E56" s="9"/>
      <c r="F56" s="9"/>
      <c r="G56" s="213" t="s">
        <v>164</v>
      </c>
      <c r="H56" s="645">
        <v>0</v>
      </c>
      <c r="I56" s="645">
        <v>0</v>
      </c>
      <c r="J56" s="537">
        <f>K56-I56</f>
        <v>50000</v>
      </c>
      <c r="K56" s="645">
        <v>50000</v>
      </c>
      <c r="L56" s="615">
        <v>25000</v>
      </c>
    </row>
    <row r="57" spans="1:21" customHeight="1" ht="24.95" s="2" customFormat="1">
      <c r="B57" s="5" t="s">
        <v>248</v>
      </c>
      <c r="C57" s="9"/>
      <c r="D57" s="9"/>
      <c r="E57" s="9"/>
      <c r="F57" s="9"/>
      <c r="G57" s="213" t="s">
        <v>167</v>
      </c>
      <c r="H57" s="616">
        <v>20200</v>
      </c>
      <c r="I57" s="616">
        <v>47000</v>
      </c>
      <c r="J57" s="537">
        <f>K57-I57</f>
        <v>78000</v>
      </c>
      <c r="K57" s="616">
        <v>125000</v>
      </c>
      <c r="L57" s="650">
        <v>25000</v>
      </c>
    </row>
    <row r="58" spans="1:21" customHeight="1" ht="24.95" s="2" customFormat="1">
      <c r="B58" s="5" t="s">
        <v>249</v>
      </c>
      <c r="C58" s="9"/>
      <c r="D58" s="9"/>
      <c r="E58" s="9"/>
      <c r="F58" s="9"/>
      <c r="G58" s="213" t="s">
        <v>250</v>
      </c>
      <c r="H58" s="616">
        <v>0</v>
      </c>
      <c r="I58" s="616"/>
      <c r="J58" s="616"/>
      <c r="K58" s="616">
        <v>0</v>
      </c>
      <c r="L58" s="650">
        <v>50000</v>
      </c>
    </row>
    <row r="59" spans="1:21" customHeight="1" ht="24.95" s="1218" customFormat="1">
      <c r="B59" s="5" t="s">
        <v>210</v>
      </c>
      <c r="C59" s="14"/>
      <c r="D59" s="9"/>
      <c r="E59" s="9"/>
      <c r="F59" s="9"/>
      <c r="G59" s="213" t="s">
        <v>171</v>
      </c>
      <c r="H59" s="541">
        <v>24800</v>
      </c>
      <c r="I59" s="541">
        <v>0</v>
      </c>
      <c r="J59" s="541">
        <v>0</v>
      </c>
      <c r="K59" s="1219">
        <v>82000</v>
      </c>
      <c r="L59" s="1220">
        <v>0</v>
      </c>
    </row>
    <row r="60" spans="1:21" customHeight="1" ht="24.95" s="626" customFormat="1">
      <c r="A60" s="6" t="s">
        <v>172</v>
      </c>
      <c r="B60" s="273"/>
      <c r="C60" s="273"/>
      <c r="D60" s="273"/>
      <c r="E60" s="273"/>
      <c r="F60" s="273"/>
      <c r="G60" s="253"/>
      <c r="H60" s="1221">
        <f>SUM(H56:H59)</f>
        <v>45000</v>
      </c>
      <c r="I60" s="1221">
        <f>SUM(I56:I59)</f>
        <v>47000</v>
      </c>
      <c r="J60" s="1221">
        <f>SUM(J56:J59)</f>
        <v>128000</v>
      </c>
      <c r="K60" s="1221">
        <f>SUM(K56:K59)</f>
        <v>257000</v>
      </c>
      <c r="L60" s="1222">
        <f>SUM(L56:L59)</f>
        <v>100000</v>
      </c>
    </row>
    <row r="61" spans="1:21" customHeight="1" ht="24.95" s="626" customFormat="1">
      <c r="A61" s="6"/>
      <c r="B61" s="273"/>
      <c r="C61" s="273"/>
      <c r="D61" s="273"/>
      <c r="E61" s="273"/>
      <c r="F61" s="273"/>
      <c r="G61" s="253"/>
      <c r="H61" s="1221"/>
      <c r="I61" s="1221"/>
      <c r="J61" s="1221"/>
      <c r="K61" s="1221"/>
      <c r="L61" s="1222"/>
    </row>
    <row r="62" spans="1:21" customHeight="1" ht="24.95" s="626" customFormat="1">
      <c r="A62" s="273"/>
      <c r="B62" s="273"/>
      <c r="C62" s="273"/>
      <c r="D62" s="273"/>
      <c r="E62" s="273"/>
      <c r="F62" s="273"/>
      <c r="G62" s="253"/>
      <c r="H62" s="1223"/>
      <c r="I62" s="1223"/>
      <c r="J62" s="1223"/>
      <c r="K62" s="1223"/>
      <c r="L62" s="1224"/>
    </row>
    <row r="63" spans="1:21" customHeight="1" ht="24.95" s="550" customFormat="1">
      <c r="A63" s="6" t="s">
        <v>252</v>
      </c>
      <c r="B63" s="6"/>
      <c r="C63" s="6"/>
      <c r="D63" s="6"/>
      <c r="E63" s="6"/>
      <c r="F63" s="6"/>
      <c r="G63" s="243"/>
      <c r="H63" s="656">
        <f>+H60+H53</f>
        <v>10959449.26</v>
      </c>
      <c r="I63" s="656">
        <f>+I60+I53</f>
        <v>4559685.71</v>
      </c>
      <c r="J63" s="656">
        <f>+J60+J53</f>
        <v>9393245.73</v>
      </c>
      <c r="K63" s="656">
        <f>+K60+K53</f>
        <v>14034931.44</v>
      </c>
      <c r="L63" s="688">
        <f>+L60+L53</f>
        <v>12390399.03</v>
      </c>
    </row>
    <row r="64" spans="1:21" customHeight="1" ht="24.95" s="550" customFormat="1">
      <c r="A64" s="6"/>
      <c r="B64" s="6"/>
      <c r="C64" s="6"/>
      <c r="D64" s="6"/>
      <c r="E64" s="6"/>
      <c r="F64" s="6"/>
      <c r="G64" s="243"/>
      <c r="H64" s="656"/>
      <c r="I64" s="656"/>
      <c r="J64" s="656"/>
      <c r="K64" s="656"/>
      <c r="L64" s="688"/>
    </row>
    <row r="65" spans="1:21" customHeight="1" ht="24.95" s="9" customFormat="1">
      <c r="A65" s="73"/>
      <c r="B65" s="73"/>
      <c r="C65" s="73"/>
      <c r="D65" s="73"/>
      <c r="E65" s="73"/>
      <c r="F65" s="73"/>
      <c r="G65" s="720"/>
      <c r="H65" s="720"/>
      <c r="I65" s="720"/>
      <c r="J65" s="720"/>
      <c r="K65" s="720"/>
      <c r="L65" s="721"/>
    </row>
    <row r="66" spans="1:21" customHeight="1" ht="18" s="9" customFormat="1">
      <c r="G66" s="591"/>
      <c r="H66" s="591"/>
      <c r="I66" s="591"/>
      <c r="J66" s="591"/>
      <c r="K66" s="591"/>
      <c r="L66" s="591"/>
    </row>
    <row r="67" spans="1:21" customHeight="1" ht="13.5" s="9" customFormat="1">
      <c r="G67" s="591"/>
      <c r="H67" s="591"/>
      <c r="I67" s="591"/>
      <c r="J67" s="591"/>
      <c r="K67" s="591"/>
      <c r="L67" s="591"/>
    </row>
    <row r="68" spans="1:21" customHeight="1" ht="20.1">
      <c r="A68" s="944" t="s">
        <v>435</v>
      </c>
      <c r="B68" s="7"/>
      <c r="C68" s="7"/>
      <c r="D68" s="7"/>
      <c r="E68" s="7"/>
      <c r="G68" s="945"/>
      <c r="H68" s="946"/>
      <c r="I68" s="946"/>
      <c r="J68" s="946"/>
      <c r="K68" s="947"/>
      <c r="M68" s="599"/>
      <c r="N68" s="599"/>
      <c r="O68" s="599"/>
      <c r="P68" s="553"/>
      <c r="Q68" s="553"/>
      <c r="R68" s="553"/>
      <c r="S68" s="553"/>
      <c r="T68" s="553"/>
    </row>
    <row r="69" spans="1:21" customHeight="1" ht="21.95" s="9" customFormat="1">
      <c r="A69" s="948" t="s">
        <v>717</v>
      </c>
      <c r="B69" s="15"/>
      <c r="C69" s="15"/>
      <c r="D69" s="15"/>
      <c r="E69" s="15"/>
      <c r="F69" s="15"/>
      <c r="G69" s="213"/>
      <c r="H69" s="949"/>
      <c r="I69" s="949"/>
      <c r="J69" s="949"/>
      <c r="K69" s="949"/>
      <c r="L69" s="1071"/>
      <c r="M69" s="529"/>
      <c r="N69" s="529"/>
      <c r="O69" s="529"/>
      <c r="P69" s="529"/>
      <c r="Q69" s="529"/>
      <c r="R69" s="529"/>
      <c r="S69" s="529"/>
      <c r="T69" s="529"/>
      <c r="U69" s="529"/>
    </row>
    <row r="70" spans="1:21" customHeight="1" ht="21.95" s="9" customFormat="1">
      <c r="A70" s="950" t="s">
        <v>213</v>
      </c>
      <c r="B70" s="15"/>
      <c r="C70" s="15"/>
      <c r="D70" s="15"/>
      <c r="E70" s="15"/>
      <c r="F70" s="15"/>
      <c r="G70" s="213"/>
      <c r="H70" s="949"/>
      <c r="I70" s="949"/>
      <c r="J70" s="949"/>
      <c r="K70" s="949"/>
      <c r="L70" s="1071"/>
      <c r="M70" s="529"/>
      <c r="N70" s="529"/>
      <c r="O70" s="529"/>
      <c r="P70" s="529"/>
      <c r="Q70" s="529"/>
      <c r="R70" s="529"/>
      <c r="S70" s="529"/>
      <c r="T70" s="529"/>
      <c r="U70" s="529"/>
    </row>
    <row r="71" spans="1:21" customHeight="1" ht="21.95" s="9" customFormat="1">
      <c r="B71" s="9" t="s">
        <v>142</v>
      </c>
      <c r="C71" s="27"/>
      <c r="D71" s="27"/>
      <c r="E71" s="27"/>
      <c r="F71" s="951"/>
      <c r="G71" s="238" t="s">
        <v>143</v>
      </c>
      <c r="H71" s="954"/>
      <c r="I71" s="954"/>
      <c r="J71" s="954"/>
      <c r="K71" s="954"/>
      <c r="L71" s="1072"/>
      <c r="M71" s="529"/>
      <c r="N71" s="529"/>
      <c r="O71" s="529"/>
      <c r="P71" s="529"/>
      <c r="Q71" s="529"/>
      <c r="R71" s="529"/>
      <c r="S71" s="529"/>
      <c r="T71" s="529"/>
      <c r="U71" s="529"/>
    </row>
    <row r="72" spans="1:21" customHeight="1" ht="21.95" s="9" customFormat="1">
      <c r="B72" s="1225" t="s">
        <v>718</v>
      </c>
      <c r="C72" s="27"/>
      <c r="D72" s="27"/>
      <c r="E72" s="27"/>
      <c r="F72" s="951"/>
      <c r="G72" s="238"/>
      <c r="H72" s="949"/>
      <c r="I72" s="952">
        <v>0</v>
      </c>
      <c r="J72" s="537">
        <f>K72-I72</f>
        <v>500000</v>
      </c>
      <c r="K72" s="953">
        <v>500000</v>
      </c>
      <c r="L72" s="953">
        <v>100000</v>
      </c>
      <c r="M72" s="529"/>
      <c r="N72" s="529"/>
      <c r="O72" s="529"/>
      <c r="P72" s="529"/>
      <c r="Q72" s="529"/>
      <c r="R72" s="529"/>
      <c r="S72" s="529"/>
      <c r="T72" s="529"/>
      <c r="U72" s="529"/>
    </row>
    <row r="73" spans="1:21" customHeight="1" ht="21.95" s="9" customFormat="1">
      <c r="B73" s="1225" t="s">
        <v>719</v>
      </c>
      <c r="C73" s="27"/>
      <c r="D73" s="27"/>
      <c r="E73" s="27"/>
      <c r="F73" s="951"/>
      <c r="G73" s="238"/>
      <c r="H73" s="949"/>
      <c r="I73" s="952">
        <v>0</v>
      </c>
      <c r="J73" s="537">
        <f>K73-I73</f>
        <v>150000</v>
      </c>
      <c r="K73" s="953">
        <v>150000</v>
      </c>
      <c r="L73" s="953">
        <v>100000</v>
      </c>
      <c r="M73" s="529"/>
      <c r="N73" s="529"/>
      <c r="O73" s="529"/>
      <c r="P73" s="529"/>
      <c r="Q73" s="529"/>
      <c r="R73" s="529"/>
      <c r="S73" s="529"/>
      <c r="T73" s="529"/>
      <c r="U73" s="529"/>
    </row>
    <row r="74" spans="1:21" customHeight="1" ht="21.95" s="9" customFormat="1">
      <c r="B74" s="1073" t="s">
        <v>720</v>
      </c>
      <c r="C74" s="27"/>
      <c r="D74" s="27"/>
      <c r="E74" s="27"/>
      <c r="F74" s="951"/>
      <c r="G74" s="238"/>
      <c r="H74" s="949"/>
      <c r="I74" s="952"/>
      <c r="J74" s="952"/>
      <c r="K74" s="953"/>
      <c r="L74" s="953"/>
      <c r="M74" s="529"/>
      <c r="N74" s="529"/>
      <c r="O74" s="529"/>
      <c r="P74" s="529"/>
      <c r="Q74" s="529"/>
      <c r="R74" s="529"/>
      <c r="S74" s="529"/>
      <c r="T74" s="529"/>
      <c r="U74" s="529"/>
    </row>
    <row r="75" spans="1:21" customHeight="1" ht="21.95" s="9" customFormat="1">
      <c r="B75" s="1225" t="s">
        <v>721</v>
      </c>
      <c r="C75" s="27"/>
      <c r="D75" s="27"/>
      <c r="E75" s="27"/>
      <c r="F75" s="951"/>
      <c r="G75" s="238"/>
      <c r="H75" s="949"/>
      <c r="I75" s="952">
        <v>0</v>
      </c>
      <c r="J75" s="537">
        <f>K75-I75</f>
        <v>1500000</v>
      </c>
      <c r="K75" s="953">
        <v>1500000</v>
      </c>
      <c r="L75" s="953">
        <v>300000</v>
      </c>
      <c r="M75" s="529"/>
      <c r="N75" s="529"/>
      <c r="O75" s="529"/>
      <c r="P75" s="529"/>
      <c r="Q75" s="529"/>
      <c r="R75" s="529"/>
      <c r="S75" s="529"/>
      <c r="T75" s="529"/>
      <c r="U75" s="529"/>
    </row>
    <row r="76" spans="1:21" customHeight="1" ht="21.95" s="9" customFormat="1">
      <c r="B76" s="1073" t="s">
        <v>722</v>
      </c>
      <c r="C76" s="27"/>
      <c r="D76" s="27"/>
      <c r="E76" s="27"/>
      <c r="F76" s="951"/>
      <c r="G76" s="238"/>
      <c r="H76" s="949"/>
      <c r="I76" s="952"/>
      <c r="J76" s="952"/>
      <c r="K76" s="952"/>
      <c r="L76" s="952"/>
      <c r="M76" s="529"/>
      <c r="N76" s="529"/>
      <c r="O76" s="529"/>
      <c r="P76" s="529"/>
      <c r="Q76" s="529"/>
      <c r="R76" s="529"/>
      <c r="S76" s="529"/>
      <c r="T76" s="529"/>
      <c r="U76" s="529"/>
    </row>
    <row r="77" spans="1:21" customHeight="1" ht="21.95" s="9" customFormat="1">
      <c r="B77" s="1225" t="s">
        <v>723</v>
      </c>
      <c r="C77" s="27"/>
      <c r="D77" s="27"/>
      <c r="E77" s="27"/>
      <c r="F77" s="951"/>
      <c r="G77" s="238"/>
      <c r="H77" s="954">
        <v>0</v>
      </c>
      <c r="I77" s="955">
        <v>0</v>
      </c>
      <c r="J77" s="541">
        <f>K77-I77</f>
        <v>300000</v>
      </c>
      <c r="K77" s="965">
        <v>300000</v>
      </c>
      <c r="L77" s="982">
        <v>150000</v>
      </c>
      <c r="M77" s="529"/>
      <c r="N77" s="529"/>
      <c r="O77" s="529"/>
      <c r="P77" s="529"/>
      <c r="Q77" s="529"/>
      <c r="R77" s="529"/>
      <c r="S77" s="529"/>
      <c r="T77" s="529"/>
      <c r="U77" s="529"/>
    </row>
    <row r="78" spans="1:21" customHeight="1" ht="21.95" s="968" customFormat="1">
      <c r="A78" s="956" t="s">
        <v>724</v>
      </c>
      <c r="B78" s="957"/>
      <c r="C78" s="957"/>
      <c r="D78" s="957"/>
      <c r="E78" s="957"/>
      <c r="F78" s="957"/>
      <c r="G78" s="966"/>
      <c r="H78" s="1199">
        <f>SUM(H71:H77)</f>
        <v>0</v>
      </c>
      <c r="I78" s="1199">
        <f>SUM(I71:I77)</f>
        <v>0</v>
      </c>
      <c r="J78" s="1199">
        <f>SUM(J71:J77)</f>
        <v>2450000</v>
      </c>
      <c r="K78" s="1199">
        <f>SUM(K71:K77)</f>
        <v>2450000</v>
      </c>
      <c r="L78" s="974">
        <f>SUM(L71:L77)</f>
        <v>650000</v>
      </c>
      <c r="M78" s="967"/>
      <c r="N78" s="967"/>
      <c r="O78" s="967"/>
      <c r="P78" s="967"/>
      <c r="Q78" s="967"/>
      <c r="R78" s="967"/>
      <c r="S78" s="967"/>
      <c r="T78" s="967"/>
      <c r="U78" s="967"/>
    </row>
    <row r="79" spans="1:21" customHeight="1" ht="20.1" s="1231" customFormat="1">
      <c r="A79" s="1130"/>
      <c r="B79" s="1226"/>
      <c r="C79" s="1226"/>
      <c r="D79" s="1226"/>
      <c r="E79" s="1226"/>
      <c r="F79" s="1226"/>
      <c r="G79" s="1227"/>
      <c r="H79" s="1227"/>
      <c r="I79" s="1227"/>
      <c r="J79" s="1227"/>
      <c r="K79" s="1228"/>
      <c r="L79" s="1229"/>
      <c r="M79" s="1230"/>
      <c r="N79" s="1230"/>
      <c r="O79" s="1230"/>
      <c r="P79" s="1230"/>
      <c r="Q79" s="1230"/>
      <c r="R79" s="1230"/>
      <c r="S79" s="1230"/>
      <c r="T79" s="1230"/>
      <c r="U79" s="1230"/>
    </row>
    <row r="80" spans="1:21" customHeight="1" ht="20.1" s="1231" customFormat="1">
      <c r="A80" s="1232"/>
      <c r="B80" s="1233"/>
      <c r="C80" s="1233"/>
      <c r="D80" s="1233"/>
      <c r="E80" s="1233"/>
      <c r="F80" s="1233"/>
      <c r="G80" s="1234"/>
      <c r="H80" s="1234"/>
      <c r="I80" s="1234"/>
      <c r="J80" s="1234"/>
      <c r="K80" s="1235"/>
      <c r="L80" s="1236"/>
      <c r="M80" s="1230"/>
      <c r="N80" s="1230"/>
      <c r="O80" s="1230"/>
      <c r="P80" s="1230"/>
      <c r="Q80" s="1230"/>
      <c r="R80" s="1230"/>
      <c r="S80" s="1230"/>
      <c r="T80" s="1230"/>
      <c r="U80" s="1230"/>
    </row>
    <row r="81" spans="1:21" customHeight="1" ht="20.1" s="1231" customFormat="1">
      <c r="A81" s="1130"/>
      <c r="B81" s="1226"/>
      <c r="C81" s="1226"/>
      <c r="D81" s="1226"/>
      <c r="E81" s="1226"/>
      <c r="F81" s="1226"/>
      <c r="K81" s="1237"/>
      <c r="L81" s="1229"/>
      <c r="M81" s="1230"/>
      <c r="N81" s="1230"/>
      <c r="O81" s="1230"/>
      <c r="P81" s="1230"/>
      <c r="Q81" s="1230"/>
      <c r="R81" s="1230"/>
      <c r="S81" s="1230"/>
      <c r="T81" s="1230"/>
      <c r="U81" s="1230"/>
    </row>
    <row r="82" spans="1:21" customHeight="1" ht="20.1" s="1231" customFormat="1">
      <c r="A82" s="1130"/>
      <c r="B82" s="1226"/>
      <c r="C82" s="1226"/>
      <c r="D82" s="1226"/>
      <c r="E82" s="1226"/>
      <c r="F82" s="1226"/>
      <c r="K82" s="1237"/>
      <c r="L82" s="1229"/>
      <c r="M82" s="1230"/>
      <c r="N82" s="1230"/>
      <c r="O82" s="1230"/>
      <c r="P82" s="1230"/>
      <c r="Q82" s="1230"/>
      <c r="R82" s="1230"/>
      <c r="S82" s="1230"/>
      <c r="T82" s="1230"/>
      <c r="U82" s="1230"/>
    </row>
    <row r="83" spans="1:21" customHeight="1" ht="17.45" s="9" customFormat="1">
      <c r="A83" s="948" t="s">
        <v>725</v>
      </c>
      <c r="B83" s="15"/>
      <c r="C83" s="15"/>
      <c r="D83" s="15"/>
      <c r="E83" s="15"/>
      <c r="F83" s="15"/>
      <c r="G83" s="213"/>
      <c r="H83" s="949"/>
      <c r="I83" s="949"/>
      <c r="J83" s="949"/>
      <c r="K83" s="949"/>
      <c r="L83" s="1071"/>
      <c r="M83" s="529"/>
      <c r="N83" s="529"/>
      <c r="O83" s="529"/>
      <c r="P83" s="529"/>
      <c r="Q83" s="529"/>
      <c r="R83" s="529"/>
      <c r="S83" s="529"/>
      <c r="T83" s="529"/>
      <c r="U83" s="529"/>
    </row>
    <row r="84" spans="1:21" customHeight="1" ht="17.45" s="9" customFormat="1">
      <c r="A84" s="950" t="s">
        <v>213</v>
      </c>
      <c r="B84" s="15"/>
      <c r="C84" s="15"/>
      <c r="D84" s="15"/>
      <c r="E84" s="15"/>
      <c r="F84" s="15"/>
      <c r="G84" s="213"/>
      <c r="H84" s="949"/>
      <c r="I84" s="949"/>
      <c r="J84" s="949"/>
      <c r="K84" s="949"/>
      <c r="L84" s="1071"/>
      <c r="M84" s="529"/>
      <c r="N84" s="529"/>
      <c r="O84" s="529"/>
      <c r="P84" s="529"/>
      <c r="Q84" s="529"/>
      <c r="R84" s="529"/>
      <c r="S84" s="529"/>
      <c r="T84" s="529"/>
      <c r="U84" s="529"/>
    </row>
    <row r="85" spans="1:21" customHeight="1" ht="17.45" s="9" customFormat="1">
      <c r="B85" s="9" t="s">
        <v>142</v>
      </c>
      <c r="C85" s="27"/>
      <c r="D85" s="27"/>
      <c r="E85" s="27"/>
      <c r="F85" s="951"/>
      <c r="G85" s="238" t="s">
        <v>143</v>
      </c>
      <c r="H85" s="954"/>
      <c r="I85" s="954"/>
      <c r="J85" s="954"/>
      <c r="K85" s="954"/>
      <c r="L85" s="1072"/>
      <c r="M85" s="529"/>
      <c r="N85" s="529"/>
      <c r="O85" s="529"/>
      <c r="P85" s="529"/>
      <c r="Q85" s="529"/>
      <c r="R85" s="529"/>
      <c r="S85" s="529"/>
      <c r="T85" s="529"/>
      <c r="U85" s="529"/>
    </row>
    <row r="86" spans="1:21" customHeight="1" ht="17.45" s="9" customFormat="1">
      <c r="B86" s="1225" t="s">
        <v>726</v>
      </c>
      <c r="C86" s="27"/>
      <c r="D86" s="27"/>
      <c r="E86" s="27"/>
      <c r="F86" s="951"/>
      <c r="G86" s="238"/>
      <c r="H86" s="949"/>
      <c r="I86" s="952">
        <v>0</v>
      </c>
      <c r="J86" s="537">
        <f>K86-I86</f>
        <v>300000</v>
      </c>
      <c r="K86" s="953">
        <v>300000</v>
      </c>
      <c r="L86" s="953">
        <v>150000</v>
      </c>
      <c r="M86" s="529"/>
      <c r="N86" s="529"/>
      <c r="O86" s="529"/>
      <c r="P86" s="529"/>
      <c r="Q86" s="529"/>
      <c r="R86" s="529"/>
      <c r="S86" s="529"/>
      <c r="T86" s="529"/>
      <c r="U86" s="529"/>
    </row>
    <row r="87" spans="1:21" customHeight="1" ht="17.45" s="9" customFormat="1">
      <c r="B87" s="1225" t="s">
        <v>727</v>
      </c>
      <c r="C87" s="27"/>
      <c r="D87" s="27"/>
      <c r="E87" s="27"/>
      <c r="F87" s="951"/>
      <c r="G87" s="238"/>
      <c r="H87" s="949"/>
      <c r="I87" s="952">
        <v>0</v>
      </c>
      <c r="J87" s="537">
        <f>K87-I87</f>
        <v>300000</v>
      </c>
      <c r="K87" s="953">
        <v>300000</v>
      </c>
      <c r="L87" s="953">
        <v>150000</v>
      </c>
      <c r="M87" s="529"/>
      <c r="N87" s="529"/>
      <c r="O87" s="529"/>
      <c r="P87" s="529"/>
      <c r="Q87" s="529"/>
      <c r="R87" s="529"/>
      <c r="S87" s="529"/>
      <c r="T87" s="529"/>
      <c r="U87" s="529"/>
    </row>
    <row r="88" spans="1:21" customHeight="1" ht="17.45" s="9" customFormat="1">
      <c r="B88" s="1225" t="s">
        <v>728</v>
      </c>
      <c r="C88" s="27"/>
      <c r="D88" s="27"/>
      <c r="E88" s="27"/>
      <c r="F88" s="951"/>
      <c r="G88" s="238"/>
      <c r="H88" s="949"/>
      <c r="I88" s="952">
        <v>0</v>
      </c>
      <c r="J88" s="537">
        <f>K88-I88</f>
        <v>80000</v>
      </c>
      <c r="K88" s="953">
        <v>80000</v>
      </c>
      <c r="L88" s="953">
        <v>50000</v>
      </c>
      <c r="M88" s="529"/>
      <c r="N88" s="529"/>
      <c r="O88" s="529"/>
      <c r="P88" s="529"/>
      <c r="Q88" s="529"/>
      <c r="R88" s="529"/>
      <c r="S88" s="529"/>
      <c r="T88" s="529"/>
      <c r="U88" s="529"/>
    </row>
    <row r="89" spans="1:21" customHeight="1" ht="17.45" s="9" customFormat="1">
      <c r="B89" s="1225" t="s">
        <v>729</v>
      </c>
      <c r="C89" s="27"/>
      <c r="D89" s="27"/>
      <c r="E89" s="27"/>
      <c r="F89" s="951"/>
      <c r="G89" s="238"/>
      <c r="H89" s="949"/>
      <c r="I89" s="952">
        <v>0</v>
      </c>
      <c r="J89" s="537">
        <f>K89-I89</f>
        <v>100000</v>
      </c>
      <c r="K89" s="953">
        <v>100000</v>
      </c>
      <c r="L89" s="953">
        <v>50000</v>
      </c>
      <c r="M89" s="529"/>
      <c r="N89" s="529"/>
      <c r="O89" s="529"/>
      <c r="P89" s="529"/>
      <c r="Q89" s="529"/>
      <c r="R89" s="529"/>
      <c r="S89" s="529"/>
      <c r="T89" s="529"/>
      <c r="U89" s="529"/>
    </row>
    <row r="90" spans="1:21" customHeight="1" ht="17.45" s="9" customFormat="1">
      <c r="B90" s="1073" t="s">
        <v>730</v>
      </c>
      <c r="C90" s="27"/>
      <c r="D90" s="27"/>
      <c r="E90" s="27"/>
      <c r="F90" s="951"/>
      <c r="G90" s="238"/>
      <c r="H90" s="954">
        <v>0</v>
      </c>
      <c r="I90" s="955">
        <v>0</v>
      </c>
      <c r="J90" s="955">
        <v>0</v>
      </c>
      <c r="K90" s="955">
        <v>0</v>
      </c>
      <c r="L90" s="955">
        <v>0</v>
      </c>
      <c r="M90" s="529"/>
      <c r="N90" s="529"/>
      <c r="O90" s="529"/>
      <c r="P90" s="529"/>
      <c r="Q90" s="529"/>
      <c r="R90" s="529"/>
      <c r="S90" s="529"/>
      <c r="T90" s="529"/>
      <c r="U90" s="529"/>
    </row>
    <row r="91" spans="1:21" customHeight="1" ht="17.45" s="968" customFormat="1">
      <c r="A91" s="956" t="s">
        <v>731</v>
      </c>
      <c r="B91" s="957"/>
      <c r="C91" s="957"/>
      <c r="D91" s="957"/>
      <c r="E91" s="957"/>
      <c r="F91" s="957"/>
      <c r="G91" s="966"/>
      <c r="H91" s="1199">
        <f>SUM(H84:H90)</f>
        <v>0</v>
      </c>
      <c r="I91" s="1199">
        <f>SUM(I84:I90)</f>
        <v>0</v>
      </c>
      <c r="J91" s="1199">
        <f>SUM(J84:J90)</f>
        <v>780000</v>
      </c>
      <c r="K91" s="1199">
        <f>SUM(K84:K90)</f>
        <v>780000</v>
      </c>
      <c r="L91" s="974">
        <f>SUM(L84:L90)</f>
        <v>400000</v>
      </c>
      <c r="M91" s="967"/>
      <c r="N91" s="967"/>
      <c r="O91" s="967"/>
      <c r="P91" s="967"/>
      <c r="Q91" s="967"/>
      <c r="R91" s="967"/>
      <c r="S91" s="967"/>
      <c r="T91" s="967"/>
      <c r="U91" s="967"/>
    </row>
    <row r="92" spans="1:21" customHeight="1" ht="17.45" s="9" customFormat="1">
      <c r="B92" s="1075"/>
      <c r="C92" s="27"/>
      <c r="D92" s="27"/>
      <c r="E92" s="27"/>
      <c r="F92" s="951"/>
      <c r="G92" s="238"/>
      <c r="H92" s="238"/>
      <c r="I92" s="906"/>
      <c r="J92" s="906"/>
      <c r="K92" s="952"/>
      <c r="L92" s="952"/>
      <c r="M92" s="529"/>
      <c r="N92" s="529"/>
      <c r="O92" s="529"/>
      <c r="P92" s="529"/>
      <c r="Q92" s="529"/>
      <c r="R92" s="529"/>
      <c r="S92" s="529"/>
      <c r="T92" s="529"/>
      <c r="U92" s="529"/>
    </row>
    <row r="93" spans="1:21" customHeight="1" ht="17.45" s="9" customFormat="1">
      <c r="A93" s="948" t="s">
        <v>732</v>
      </c>
      <c r="B93" s="15"/>
      <c r="C93" s="15"/>
      <c r="D93" s="15"/>
      <c r="E93" s="15"/>
      <c r="F93" s="15"/>
      <c r="G93" s="213"/>
      <c r="H93" s="949"/>
      <c r="I93" s="949"/>
      <c r="J93" s="949"/>
      <c r="K93" s="949"/>
      <c r="L93" s="1071"/>
      <c r="M93" s="529"/>
      <c r="N93" s="529"/>
      <c r="O93" s="529"/>
      <c r="P93" s="529"/>
      <c r="Q93" s="529"/>
      <c r="R93" s="529"/>
      <c r="S93" s="529"/>
      <c r="T93" s="529"/>
      <c r="U93" s="529"/>
    </row>
    <row r="94" spans="1:21" customHeight="1" ht="17.45" s="9" customFormat="1">
      <c r="A94" s="950" t="s">
        <v>213</v>
      </c>
      <c r="B94" s="15"/>
      <c r="C94" s="15"/>
      <c r="D94" s="15"/>
      <c r="E94" s="15"/>
      <c r="F94" s="15"/>
      <c r="G94" s="213"/>
      <c r="H94" s="949"/>
      <c r="I94" s="949"/>
      <c r="J94" s="949"/>
      <c r="K94" s="949"/>
      <c r="L94" s="1071"/>
      <c r="M94" s="529"/>
      <c r="N94" s="529"/>
      <c r="O94" s="529"/>
      <c r="P94" s="529"/>
      <c r="Q94" s="529"/>
      <c r="R94" s="529"/>
      <c r="S94" s="529"/>
      <c r="T94" s="529"/>
      <c r="U94" s="529"/>
    </row>
    <row r="95" spans="1:21" customHeight="1" ht="17.45" s="9" customFormat="1">
      <c r="B95" s="9" t="s">
        <v>142</v>
      </c>
      <c r="C95" s="27"/>
      <c r="D95" s="27"/>
      <c r="E95" s="27"/>
      <c r="F95" s="951"/>
      <c r="G95" s="238" t="s">
        <v>143</v>
      </c>
      <c r="H95" s="954"/>
      <c r="I95" s="954"/>
      <c r="J95" s="954"/>
      <c r="K95" s="954"/>
      <c r="L95" s="1072"/>
      <c r="M95" s="529"/>
      <c r="N95" s="529"/>
      <c r="O95" s="529"/>
      <c r="P95" s="529"/>
      <c r="Q95" s="529"/>
      <c r="R95" s="529"/>
      <c r="S95" s="529"/>
      <c r="T95" s="529"/>
      <c r="U95" s="529"/>
    </row>
    <row r="96" spans="1:21" customHeight="1" ht="17.45" s="9" customFormat="1">
      <c r="B96" s="1225" t="s">
        <v>733</v>
      </c>
      <c r="C96" s="27"/>
      <c r="D96" s="27"/>
      <c r="E96" s="27"/>
      <c r="F96" s="951"/>
      <c r="G96" s="238"/>
      <c r="H96" s="949"/>
      <c r="I96" s="952">
        <v>0</v>
      </c>
      <c r="J96" s="537">
        <f>K96-I96</f>
        <v>2000000</v>
      </c>
      <c r="K96" s="953">
        <v>2000000</v>
      </c>
      <c r="L96" s="953">
        <v>500000</v>
      </c>
      <c r="M96" s="529"/>
      <c r="N96" s="529"/>
      <c r="O96" s="529"/>
      <c r="P96" s="529"/>
      <c r="Q96" s="529"/>
      <c r="R96" s="529"/>
      <c r="S96" s="529"/>
      <c r="T96" s="529"/>
      <c r="U96" s="529"/>
    </row>
    <row r="97" spans="1:21" customHeight="1" ht="17.45" s="9" customFormat="1">
      <c r="B97" s="1073" t="s">
        <v>734</v>
      </c>
      <c r="C97" s="27"/>
      <c r="D97" s="27"/>
      <c r="E97" s="27"/>
      <c r="F97" s="951"/>
      <c r="G97" s="238"/>
      <c r="H97" s="949"/>
      <c r="I97" s="952"/>
      <c r="J97" s="906"/>
      <c r="K97" s="953"/>
      <c r="L97" s="953"/>
      <c r="M97" s="529"/>
      <c r="N97" s="529"/>
      <c r="O97" s="529"/>
      <c r="P97" s="529"/>
      <c r="Q97" s="529"/>
      <c r="R97" s="529"/>
      <c r="S97" s="529"/>
      <c r="T97" s="529"/>
      <c r="U97" s="529"/>
    </row>
    <row r="98" spans="1:21" customHeight="1" ht="17.45" s="9" customFormat="1">
      <c r="B98" s="1225" t="s">
        <v>735</v>
      </c>
      <c r="C98" s="27"/>
      <c r="D98" s="27"/>
      <c r="E98" s="27"/>
      <c r="F98" s="951"/>
      <c r="G98" s="238"/>
      <c r="H98" s="949"/>
      <c r="I98" s="952">
        <v>0</v>
      </c>
      <c r="J98" s="537">
        <f>K98-I98</f>
        <v>100000</v>
      </c>
      <c r="K98" s="953">
        <v>100000</v>
      </c>
      <c r="L98" s="953">
        <v>200000</v>
      </c>
      <c r="M98" s="529"/>
      <c r="N98" s="529"/>
      <c r="O98" s="529"/>
      <c r="P98" s="529"/>
      <c r="Q98" s="529"/>
      <c r="R98" s="529"/>
      <c r="S98" s="529"/>
      <c r="T98" s="529"/>
      <c r="U98" s="529"/>
    </row>
    <row r="99" spans="1:21" customHeight="1" ht="17.45" s="9" customFormat="1">
      <c r="B99" s="1238" t="s">
        <v>736</v>
      </c>
      <c r="C99" s="27"/>
      <c r="D99" s="27"/>
      <c r="E99" s="27"/>
      <c r="F99" s="951"/>
      <c r="G99" s="238"/>
      <c r="H99" s="949"/>
      <c r="I99" s="952"/>
      <c r="J99" s="906"/>
      <c r="K99" s="952"/>
      <c r="L99" s="952"/>
      <c r="M99" s="529"/>
      <c r="N99" s="529"/>
      <c r="O99" s="529"/>
      <c r="P99" s="529"/>
      <c r="Q99" s="529"/>
      <c r="R99" s="529"/>
      <c r="S99" s="529"/>
      <c r="T99" s="529"/>
      <c r="U99" s="529"/>
    </row>
    <row r="100" spans="1:21" customHeight="1" ht="17.45" s="9" customFormat="1">
      <c r="B100" s="1225" t="s">
        <v>737</v>
      </c>
      <c r="C100" s="27"/>
      <c r="D100" s="27"/>
      <c r="E100" s="27"/>
      <c r="F100" s="951"/>
      <c r="G100" s="238"/>
      <c r="H100" s="954">
        <v>0</v>
      </c>
      <c r="I100" s="955">
        <v>0</v>
      </c>
      <c r="J100" s="541">
        <f>K100-I100</f>
        <v>1000000</v>
      </c>
      <c r="K100" s="965">
        <v>1000000</v>
      </c>
      <c r="L100" s="965">
        <v>0</v>
      </c>
      <c r="M100" s="529"/>
      <c r="N100" s="529"/>
      <c r="O100" s="529"/>
      <c r="P100" s="529"/>
      <c r="Q100" s="529"/>
      <c r="R100" s="529"/>
      <c r="S100" s="529"/>
      <c r="T100" s="529"/>
      <c r="U100" s="529"/>
    </row>
    <row r="101" spans="1:21" customHeight="1" ht="17.45" s="968" customFormat="1">
      <c r="A101" s="913" t="s">
        <v>738</v>
      </c>
      <c r="B101" s="969"/>
      <c r="C101" s="969"/>
      <c r="D101" s="969"/>
      <c r="E101" s="969"/>
      <c r="F101" s="969"/>
      <c r="G101" s="970"/>
      <c r="H101" s="1239">
        <f>SUM(H96:H100)</f>
        <v>0</v>
      </c>
      <c r="I101" s="1239">
        <f>SUM(I96:I100)</f>
        <v>0</v>
      </c>
      <c r="J101" s="1239">
        <f>SUM(J96:J100)</f>
        <v>3100000</v>
      </c>
      <c r="K101" s="1239">
        <f>SUM(K96:K100)</f>
        <v>3100000</v>
      </c>
      <c r="L101" s="1077">
        <f>SUM(L96:L100)</f>
        <v>700000</v>
      </c>
      <c r="M101" s="967"/>
      <c r="N101" s="967"/>
      <c r="O101" s="967"/>
      <c r="P101" s="967"/>
      <c r="Q101" s="967"/>
      <c r="R101" s="967"/>
      <c r="S101" s="967"/>
      <c r="T101" s="967"/>
      <c r="U101" s="967"/>
    </row>
    <row r="102" spans="1:21" customHeight="1" ht="14.1" s="9" customFormat="1">
      <c r="A102" s="948" t="s">
        <v>739</v>
      </c>
      <c r="B102" s="15"/>
      <c r="C102" s="15"/>
      <c r="D102" s="15"/>
      <c r="E102" s="15"/>
      <c r="F102" s="15"/>
      <c r="G102" s="213"/>
      <c r="H102" s="949"/>
      <c r="I102" s="949"/>
      <c r="J102" s="949"/>
      <c r="K102" s="949"/>
      <c r="L102" s="1071"/>
      <c r="M102" s="529"/>
      <c r="N102" s="529"/>
      <c r="O102" s="529"/>
      <c r="P102" s="529"/>
      <c r="Q102" s="529"/>
      <c r="R102" s="529"/>
      <c r="S102" s="529"/>
      <c r="T102" s="529"/>
      <c r="U102" s="529"/>
    </row>
    <row r="103" spans="1:21" customHeight="1" ht="14.1" s="9" customFormat="1">
      <c r="A103" s="950" t="s">
        <v>213</v>
      </c>
      <c r="B103" s="15"/>
      <c r="C103" s="15"/>
      <c r="D103" s="15"/>
      <c r="E103" s="15"/>
      <c r="F103" s="15"/>
      <c r="G103" s="213"/>
      <c r="H103" s="949"/>
      <c r="I103" s="949"/>
      <c r="J103" s="949"/>
      <c r="K103" s="949"/>
      <c r="L103" s="1071"/>
      <c r="M103" s="529"/>
      <c r="N103" s="529"/>
      <c r="O103" s="529"/>
      <c r="P103" s="529"/>
      <c r="Q103" s="529"/>
      <c r="R103" s="529"/>
      <c r="S103" s="529"/>
      <c r="T103" s="529"/>
      <c r="U103" s="529"/>
    </row>
    <row r="104" spans="1:21" customHeight="1" ht="14.1" s="9" customFormat="1">
      <c r="B104" s="9" t="s">
        <v>142</v>
      </c>
      <c r="C104" s="27"/>
      <c r="D104" s="27"/>
      <c r="E104" s="27"/>
      <c r="F104" s="951"/>
      <c r="G104" s="238" t="s">
        <v>143</v>
      </c>
      <c r="H104" s="954"/>
      <c r="I104" s="954"/>
      <c r="J104" s="954"/>
      <c r="K104" s="954"/>
      <c r="L104" s="1072"/>
      <c r="M104" s="529"/>
      <c r="N104" s="529"/>
      <c r="O104" s="529"/>
      <c r="P104" s="529"/>
      <c r="Q104" s="529"/>
      <c r="R104" s="529"/>
      <c r="S104" s="529"/>
      <c r="T104" s="529"/>
      <c r="U104" s="529"/>
    </row>
    <row r="105" spans="1:21" customHeight="1" ht="14.1" s="9" customFormat="1">
      <c r="B105" s="1240" t="s">
        <v>740</v>
      </c>
      <c r="C105" s="7"/>
      <c r="D105" s="27"/>
      <c r="E105" s="27"/>
      <c r="F105" s="951"/>
      <c r="G105" s="238"/>
      <c r="H105" s="949"/>
      <c r="I105" s="952">
        <v>27000</v>
      </c>
      <c r="J105" s="537">
        <f>K105-I105</f>
        <v>173000</v>
      </c>
      <c r="K105" s="953">
        <v>200000</v>
      </c>
      <c r="L105" s="953">
        <v>200000</v>
      </c>
      <c r="M105" s="529"/>
      <c r="N105" s="529"/>
      <c r="O105" s="529"/>
      <c r="P105" s="529"/>
      <c r="Q105" s="529"/>
      <c r="R105" s="529"/>
      <c r="S105" s="529"/>
      <c r="T105" s="529"/>
      <c r="U105" s="529"/>
    </row>
    <row r="106" spans="1:21" customHeight="1" ht="14.1" s="9" customFormat="1">
      <c r="B106" s="1240" t="s">
        <v>741</v>
      </c>
      <c r="C106" s="1204"/>
      <c r="D106" s="27"/>
      <c r="E106" s="27"/>
      <c r="F106" s="951"/>
      <c r="G106" s="238"/>
      <c r="H106" s="949"/>
      <c r="I106" s="952">
        <v>0</v>
      </c>
      <c r="J106" s="537">
        <f>K106-I106</f>
        <v>1000000</v>
      </c>
      <c r="K106" s="953">
        <v>1000000</v>
      </c>
      <c r="L106" s="953">
        <v>1000000</v>
      </c>
      <c r="M106" s="529"/>
      <c r="N106" s="529"/>
      <c r="O106" s="529"/>
      <c r="P106" s="529"/>
      <c r="Q106" s="529"/>
      <c r="R106" s="529"/>
      <c r="S106" s="529"/>
      <c r="T106" s="529"/>
      <c r="U106" s="529"/>
    </row>
    <row r="107" spans="1:21" customHeight="1" ht="14.1" s="9" customFormat="1">
      <c r="B107" s="1225" t="s">
        <v>742</v>
      </c>
      <c r="C107" s="1204"/>
      <c r="D107" s="27"/>
      <c r="E107" s="27"/>
      <c r="F107" s="951"/>
      <c r="G107" s="238"/>
      <c r="H107" s="949"/>
      <c r="I107" s="952">
        <v>0</v>
      </c>
      <c r="J107" s="537">
        <f>K107-I107</f>
        <v>1500000</v>
      </c>
      <c r="K107" s="953">
        <v>1500000</v>
      </c>
      <c r="L107" s="953">
        <v>1000000</v>
      </c>
      <c r="M107" s="529"/>
      <c r="N107" s="529"/>
      <c r="O107" s="529"/>
      <c r="P107" s="529"/>
      <c r="Q107" s="529"/>
      <c r="R107" s="529"/>
      <c r="S107" s="529"/>
      <c r="T107" s="529"/>
      <c r="U107" s="529"/>
    </row>
    <row r="108" spans="1:21" customHeight="1" ht="14.1" s="9" customFormat="1">
      <c r="B108" s="1225" t="s">
        <v>743</v>
      </c>
      <c r="C108" s="1204"/>
      <c r="D108" s="27"/>
      <c r="E108" s="27"/>
      <c r="F108" s="951"/>
      <c r="G108" s="238"/>
      <c r="H108" s="949"/>
      <c r="I108" s="952">
        <v>0</v>
      </c>
      <c r="J108" s="537">
        <f>K108-I108</f>
        <v>3000000</v>
      </c>
      <c r="K108" s="953">
        <v>3000000</v>
      </c>
      <c r="L108" s="953">
        <v>1500000</v>
      </c>
      <c r="M108" s="529"/>
      <c r="N108" s="529"/>
      <c r="O108" s="529"/>
      <c r="P108" s="529"/>
      <c r="Q108" s="529"/>
      <c r="R108" s="529"/>
      <c r="S108" s="529"/>
      <c r="T108" s="529"/>
      <c r="U108" s="529"/>
    </row>
    <row r="109" spans="1:21" customHeight="1" ht="14.1" s="9" customFormat="1">
      <c r="B109" s="1225" t="s">
        <v>744</v>
      </c>
      <c r="C109" s="1204"/>
      <c r="D109" s="27"/>
      <c r="E109" s="27"/>
      <c r="F109" s="951"/>
      <c r="G109" s="238"/>
      <c r="H109" s="949"/>
      <c r="I109" s="952">
        <v>0</v>
      </c>
      <c r="J109" s="537">
        <f>K109-I109</f>
        <v>50000</v>
      </c>
      <c r="K109" s="953">
        <v>50000</v>
      </c>
      <c r="L109" s="953"/>
      <c r="M109" s="529"/>
      <c r="N109" s="529"/>
      <c r="O109" s="529"/>
      <c r="P109" s="529"/>
      <c r="Q109" s="529"/>
      <c r="R109" s="529"/>
      <c r="S109" s="529"/>
      <c r="T109" s="529"/>
      <c r="U109" s="529"/>
    </row>
    <row r="110" spans="1:21" customHeight="1" ht="14.1" s="9" customFormat="1">
      <c r="B110" s="1225" t="s">
        <v>745</v>
      </c>
      <c r="C110" s="1204"/>
      <c r="D110" s="27"/>
      <c r="E110" s="27"/>
      <c r="F110" s="951"/>
      <c r="G110" s="238"/>
      <c r="H110" s="954"/>
      <c r="I110" s="955"/>
      <c r="J110" s="955"/>
      <c r="K110" s="965"/>
      <c r="L110" s="965"/>
      <c r="M110" s="529"/>
      <c r="N110" s="529"/>
      <c r="O110" s="529"/>
      <c r="P110" s="529"/>
      <c r="Q110" s="529"/>
      <c r="R110" s="529"/>
      <c r="S110" s="529"/>
      <c r="T110" s="529"/>
      <c r="U110" s="529"/>
    </row>
    <row r="111" spans="1:21" customHeight="1" ht="14.1" s="9" customFormat="1">
      <c r="B111" s="1073" t="s">
        <v>746</v>
      </c>
      <c r="C111" s="1204"/>
      <c r="D111" s="27"/>
      <c r="E111" s="27"/>
      <c r="F111" s="951"/>
      <c r="G111" s="238"/>
      <c r="H111" s="1202">
        <v>0</v>
      </c>
      <c r="I111" s="1072">
        <v>0</v>
      </c>
      <c r="J111" s="954">
        <v>0</v>
      </c>
      <c r="K111" s="893">
        <v>0</v>
      </c>
      <c r="L111" s="965">
        <v>200000</v>
      </c>
      <c r="M111" s="529"/>
      <c r="N111" s="529"/>
      <c r="O111" s="529"/>
      <c r="P111" s="529"/>
      <c r="Q111" s="529"/>
      <c r="R111" s="529"/>
      <c r="S111" s="529"/>
      <c r="T111" s="529"/>
      <c r="U111" s="529"/>
    </row>
    <row r="112" spans="1:21" customHeight="1" ht="14.1" s="968" customFormat="1">
      <c r="A112" s="956" t="s">
        <v>747</v>
      </c>
      <c r="B112" s="957"/>
      <c r="C112" s="957"/>
      <c r="D112" s="957"/>
      <c r="E112" s="957"/>
      <c r="F112" s="957"/>
      <c r="G112" s="966"/>
      <c r="H112" s="1199">
        <f>SUM(H104:H111)</f>
        <v>0</v>
      </c>
      <c r="I112" s="1199">
        <f>SUM(I104:I111)</f>
        <v>27000</v>
      </c>
      <c r="J112" s="1199">
        <f>SUM(J104:J111)</f>
        <v>5723000</v>
      </c>
      <c r="K112" s="1199">
        <f>SUM(K104:K111)</f>
        <v>5750000</v>
      </c>
      <c r="L112" s="974">
        <f>SUM(L104:L111)</f>
        <v>3900000</v>
      </c>
      <c r="M112" s="967"/>
      <c r="N112" s="967"/>
      <c r="O112" s="967"/>
      <c r="P112" s="967"/>
      <c r="Q112" s="967"/>
      <c r="R112" s="967"/>
      <c r="S112" s="967"/>
      <c r="T112" s="967"/>
      <c r="U112" s="967"/>
    </row>
    <row r="113" spans="1:21" customHeight="1" ht="14.1" s="10" customFormat="1">
      <c r="A113" s="1500"/>
      <c r="B113" s="1501"/>
      <c r="C113" s="1501"/>
      <c r="D113" s="1502"/>
      <c r="E113" s="391"/>
      <c r="F113" s="660"/>
      <c r="G113" s="987"/>
      <c r="H113" s="987"/>
      <c r="I113" s="1210"/>
      <c r="J113" s="1210"/>
      <c r="K113" s="1210"/>
      <c r="L113" s="1211"/>
      <c r="M113" s="988"/>
      <c r="N113" s="988"/>
      <c r="O113" s="988"/>
      <c r="P113" s="989"/>
      <c r="Q113" s="989"/>
      <c r="R113" s="989"/>
      <c r="S113" s="989"/>
      <c r="T113" s="989"/>
      <c r="U113" s="989"/>
    </row>
    <row r="114" spans="1:21" customHeight="1" ht="14.1" s="550" customFormat="1">
      <c r="A114" s="18" t="s">
        <v>252</v>
      </c>
      <c r="B114" s="18"/>
      <c r="C114" s="18"/>
      <c r="D114" s="18"/>
      <c r="E114" s="18"/>
      <c r="F114" s="18"/>
      <c r="G114" s="219"/>
      <c r="H114" s="990">
        <f>H112+H101+H91+H78</f>
        <v>0</v>
      </c>
      <c r="I114" s="990">
        <f>I112+I101+I91+I78</f>
        <v>27000</v>
      </c>
      <c r="J114" s="990">
        <f>J112+J101+J91+J78</f>
        <v>12053000</v>
      </c>
      <c r="K114" s="990">
        <f>K112+K101+K91+K78</f>
        <v>12080000</v>
      </c>
      <c r="L114" s="991">
        <f>L112+L101+L91+L78</f>
        <v>5650000</v>
      </c>
      <c r="M114" s="590"/>
      <c r="N114" s="590"/>
      <c r="O114" s="590"/>
      <c r="P114" s="549"/>
      <c r="Q114" s="549"/>
      <c r="R114" s="549"/>
      <c r="S114" s="549"/>
      <c r="T114" s="549"/>
      <c r="U114" s="549"/>
    </row>
    <row r="115" spans="1:21" customHeight="1" ht="14.1">
      <c r="A115" s="992"/>
      <c r="B115" s="992"/>
      <c r="C115" s="992"/>
      <c r="D115" s="992"/>
      <c r="E115" s="992"/>
      <c r="F115" s="992"/>
      <c r="G115" s="993"/>
      <c r="H115" s="993"/>
      <c r="I115" s="1212"/>
      <c r="J115" s="1212"/>
      <c r="K115" s="1212"/>
      <c r="L115" s="1213"/>
      <c r="M115" s="553"/>
      <c r="N115" s="553"/>
      <c r="O115" s="553"/>
      <c r="P115" s="553"/>
      <c r="Q115" s="553"/>
      <c r="R115" s="553"/>
      <c r="S115" s="553"/>
      <c r="T115" s="553"/>
      <c r="U115" s="553"/>
    </row>
    <row r="116" spans="1:21" customHeight="1" ht="9" s="273" customFormat="1">
      <c r="A116" s="6"/>
      <c r="B116" s="6"/>
      <c r="G116" s="508"/>
      <c r="H116" s="508"/>
    </row>
    <row r="117" spans="1:21" customHeight="1" ht="18" s="9" customFormat="1">
      <c r="A117" s="9" t="s">
        <v>182</v>
      </c>
      <c r="I117" s="509"/>
      <c r="J117" s="509"/>
      <c r="K117" s="509"/>
      <c r="L117" s="509"/>
    </row>
    <row r="118" spans="1:21" customHeight="1" ht="18" s="9" customFormat="1">
      <c r="G118" s="510"/>
      <c r="H118" s="510"/>
      <c r="I118" s="510"/>
      <c r="J118" s="510"/>
      <c r="K118" s="510"/>
      <c r="L118" s="510"/>
    </row>
    <row r="119" spans="1:21" customHeight="1" ht="18" s="9" customFormat="1">
      <c r="A119" s="1493" t="s">
        <v>183</v>
      </c>
      <c r="B119" s="1493"/>
      <c r="C119" s="1493"/>
      <c r="D119" s="511"/>
      <c r="E119" s="511"/>
      <c r="F119" s="512" t="s">
        <v>184</v>
      </c>
      <c r="G119" s="509"/>
      <c r="H119" s="509"/>
      <c r="I119" s="509"/>
      <c r="J119" s="510" t="s">
        <v>185</v>
      </c>
      <c r="K119" s="1494"/>
      <c r="L119" s="1494"/>
    </row>
    <row r="120" spans="1:21" customHeight="1" ht="15.95" s="9" customFormat="1"/>
    <row r="121" spans="1:21" customHeight="1" ht="15.95" s="9" customFormat="1"/>
    <row r="122" spans="1:21" customHeight="1" ht="18" s="11" customFormat="1">
      <c r="A122" s="1489" t="s">
        <v>748</v>
      </c>
      <c r="B122" s="1489"/>
      <c r="C122" s="1489"/>
      <c r="D122" s="1489"/>
      <c r="E122" s="1489"/>
      <c r="F122" s="1489" t="s">
        <v>187</v>
      </c>
      <c r="G122" s="1489"/>
      <c r="H122" s="1489"/>
      <c r="I122" s="1489"/>
      <c r="J122" s="1489" t="s">
        <v>186</v>
      </c>
      <c r="K122" s="1489"/>
      <c r="L122" s="1489"/>
    </row>
    <row r="123" spans="1:21" customHeight="1" ht="12" s="11" customFormat="1">
      <c r="A123" s="1468" t="s">
        <v>676</v>
      </c>
      <c r="B123" s="1468"/>
      <c r="C123" s="1468"/>
      <c r="D123" s="1468"/>
      <c r="E123" s="1468"/>
      <c r="F123" s="1468" t="s">
        <v>189</v>
      </c>
      <c r="G123" s="1468"/>
      <c r="H123" s="1468"/>
      <c r="I123" s="1468"/>
      <c r="J123" s="1468" t="s">
        <v>188</v>
      </c>
      <c r="K123" s="1468"/>
      <c r="L123" s="1468"/>
    </row>
    <row r="124" spans="1:21" customHeight="1" ht="12" s="9" customFormat="1">
      <c r="A124" s="1468" t="s">
        <v>749</v>
      </c>
      <c r="B124" s="1468"/>
      <c r="C124" s="1468"/>
      <c r="D124" s="1468"/>
      <c r="E124" s="1468"/>
      <c r="F124" s="1468" t="s">
        <v>190</v>
      </c>
      <c r="G124" s="1468"/>
      <c r="H124" s="1468"/>
      <c r="I124" s="1468"/>
      <c r="J124" s="1468"/>
      <c r="K124" s="1468"/>
      <c r="L124" s="1468"/>
    </row>
    <row r="125" spans="1:21" customHeight="1" ht="6.7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M125" s="553"/>
      <c r="N125" s="553"/>
      <c r="O125" s="553"/>
      <c r="P125" s="553"/>
      <c r="Q125" s="553"/>
      <c r="R125" s="553"/>
      <c r="S125" s="553"/>
      <c r="T125" s="553"/>
      <c r="U125" s="553"/>
    </row>
    <row r="126" spans="1:21" customHeight="1" ht="15" s="11" customFormat="1">
      <c r="A126" s="342"/>
      <c r="B126" s="343"/>
      <c r="C126" s="342"/>
      <c r="D126" s="177"/>
      <c r="E126" s="177"/>
      <c r="F126" s="177"/>
      <c r="G126" s="344"/>
      <c r="H126" s="22"/>
      <c r="I126" s="22"/>
      <c r="J126" s="22"/>
      <c r="M126" s="817"/>
      <c r="N126" s="817"/>
      <c r="O126" s="817"/>
      <c r="P126" s="817"/>
      <c r="Q126" s="817"/>
      <c r="R126" s="817"/>
      <c r="S126" s="817"/>
      <c r="T126" s="817"/>
      <c r="U126" s="817"/>
    </row>
    <row r="127" spans="1:21" customHeight="1" ht="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11"/>
      <c r="L127" s="995"/>
      <c r="M127" s="553"/>
      <c r="N127" s="553"/>
      <c r="O127" s="553"/>
      <c r="P127" s="553"/>
      <c r="Q127" s="553"/>
      <c r="R127" s="553"/>
      <c r="S127" s="553"/>
      <c r="T127" s="553"/>
      <c r="U127" s="553"/>
    </row>
    <row r="128" spans="1:21" customHeight="1" ht="16.5">
      <c r="A128" s="996"/>
      <c r="B128" s="4"/>
      <c r="C128" s="4"/>
      <c r="D128" s="9"/>
      <c r="E128" s="997"/>
      <c r="F128" s="997"/>
      <c r="G128" s="997"/>
      <c r="H128" s="1124">
        <f>H114+H63</f>
        <v>10959449.26</v>
      </c>
      <c r="I128" s="1124">
        <f>I114+I63</f>
        <v>4586685.71</v>
      </c>
      <c r="J128" s="1124">
        <f>J114+J63</f>
        <v>21446245.73</v>
      </c>
      <c r="K128" s="1124">
        <f>K114+K63</f>
        <v>26114931.44</v>
      </c>
      <c r="L128" s="1124">
        <f>L114+L63</f>
        <v>18040399.03</v>
      </c>
      <c r="M128" s="553"/>
      <c r="N128" s="553"/>
      <c r="O128" s="553"/>
      <c r="P128" s="553"/>
      <c r="Q128" s="553"/>
      <c r="R128" s="553"/>
      <c r="S128" s="553"/>
      <c r="T128" s="553"/>
      <c r="U128" s="553"/>
    </row>
    <row r="129" spans="1:21" customHeight="1" ht="84.75">
      <c r="A129" s="4"/>
      <c r="B129" s="4"/>
      <c r="C129" s="11"/>
      <c r="D129" s="11"/>
      <c r="E129" s="997"/>
      <c r="F129" s="997"/>
      <c r="G129" s="997"/>
      <c r="H129" s="997"/>
      <c r="I129" s="997"/>
      <c r="J129" s="997"/>
      <c r="K129" s="997"/>
      <c r="L129" s="997"/>
      <c r="M129" s="553"/>
      <c r="N129" s="553"/>
      <c r="O129" s="553"/>
      <c r="P129" s="553"/>
      <c r="Q129" s="553"/>
      <c r="R129" s="553"/>
      <c r="S129" s="553"/>
      <c r="T129" s="553"/>
      <c r="U129" s="553"/>
    </row>
    <row r="130" spans="1:21" customHeight="1" ht="16.15">
      <c r="A130" s="7"/>
      <c r="B130" s="7"/>
      <c r="C130" s="7"/>
      <c r="D130" s="7"/>
      <c r="E130" s="7"/>
      <c r="F130" s="7"/>
      <c r="G130" s="7"/>
      <c r="H130" s="693"/>
      <c r="I130" s="693"/>
      <c r="J130" s="693"/>
      <c r="K130" s="597"/>
    </row>
    <row r="131" spans="1:21" s="11" customFormat="1">
      <c r="G131" s="1497"/>
      <c r="H131" s="1497"/>
      <c r="I131" s="691"/>
      <c r="J131" s="691"/>
      <c r="K131" s="594"/>
      <c r="L131" s="593"/>
    </row>
    <row r="132" spans="1:21" customHeight="1" ht="17.45" s="11" customFormat="1">
      <c r="A132" s="388"/>
      <c r="B132" s="388"/>
      <c r="C132" s="388"/>
      <c r="D132" s="388"/>
      <c r="E132" s="388"/>
      <c r="F132" s="388"/>
      <c r="G132" s="388"/>
      <c r="H132" s="1241"/>
      <c r="I132" s="1241"/>
      <c r="J132" s="1241"/>
      <c r="K132" s="1241"/>
      <c r="L132" s="1241"/>
    </row>
    <row r="133" spans="1:21" customHeight="1" ht="18" s="9" customFormat="1">
      <c r="G133" s="591"/>
      <c r="H133" s="591"/>
      <c r="I133" s="591"/>
      <c r="J133" s="591"/>
      <c r="K133" s="591"/>
      <c r="L133" s="59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G131:H131"/>
    <mergeCell ref="A123:E123"/>
    <mergeCell ref="F123:I123"/>
    <mergeCell ref="J123:L123"/>
    <mergeCell ref="A124:E124"/>
    <mergeCell ref="F124:I124"/>
    <mergeCell ref="J124:L124"/>
    <mergeCell ref="A15:F15"/>
    <mergeCell ref="A113:D113"/>
    <mergeCell ref="A119:C119"/>
    <mergeCell ref="K119:L119"/>
    <mergeCell ref="A122:E122"/>
    <mergeCell ref="F122:I122"/>
    <mergeCell ref="J122:L122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4"/>
  <sheetViews>
    <sheetView tabSelected="0" workbookViewId="0" view="pageBreakPreview" showGridLines="false" showRowColHeaders="1">
      <selection activeCell="K55" sqref="K55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2.7109375" customWidth="true" style="9"/>
    <col min="6" max="6" width="12.7109375" customWidth="true" style="9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11"/>
    <col min="12" max="12" width="16.7109375" customWidth="true" style="598"/>
  </cols>
  <sheetData>
    <row r="1" spans="1:12" customHeight="1" ht="9.95" s="173" customFormat="1">
      <c r="A1" s="173" t="s">
        <v>0</v>
      </c>
      <c r="J1" s="174"/>
      <c r="L1" s="175"/>
    </row>
    <row r="2" spans="1:12" customHeight="1" ht="9.95" s="173" customFormat="1">
      <c r="A2" s="173" t="s">
        <v>1</v>
      </c>
      <c r="J2" s="174"/>
      <c r="L2" s="175"/>
    </row>
    <row r="3" spans="1:12" customHeight="1" ht="9.95" s="173" customFormat="1">
      <c r="A3" s="173" t="s">
        <v>2</v>
      </c>
      <c r="J3" s="174"/>
      <c r="L3" s="175"/>
    </row>
    <row r="4" spans="1:12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2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2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2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2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750</v>
      </c>
    </row>
    <row r="9" spans="1:12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 t="s">
        <v>751</v>
      </c>
    </row>
    <row r="10" spans="1:12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2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2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2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2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2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2" customHeight="1" ht="17.1" s="531" customFormat="1">
      <c r="A16" s="696" t="s">
        <v>24</v>
      </c>
      <c r="B16" s="15"/>
      <c r="C16" s="15"/>
      <c r="D16" s="15"/>
      <c r="E16" s="15"/>
      <c r="F16" s="15"/>
      <c r="G16" s="1242"/>
      <c r="H16" s="1243"/>
      <c r="I16" s="1243"/>
      <c r="J16" s="1243"/>
      <c r="K16" s="1244"/>
      <c r="L16" s="592"/>
    </row>
    <row r="17" spans="1:12" customHeight="1" ht="17.1" s="531" customFormat="1">
      <c r="A17" s="59" t="s">
        <v>25</v>
      </c>
      <c r="B17" s="15"/>
      <c r="C17" s="15"/>
      <c r="D17" s="15"/>
      <c r="E17" s="15"/>
      <c r="F17" s="15"/>
      <c r="G17" s="1006"/>
      <c r="H17" s="1007"/>
      <c r="I17" s="1007"/>
      <c r="J17" s="1007"/>
      <c r="K17" s="1068"/>
      <c r="L17" s="592"/>
    </row>
    <row r="18" spans="1:12" customHeight="1" ht="17.1" s="2" customFormat="1">
      <c r="B18" s="9" t="s">
        <v>26</v>
      </c>
      <c r="C18" s="9"/>
      <c r="D18" s="9"/>
      <c r="E18" s="9"/>
      <c r="F18" s="9"/>
      <c r="G18" s="213" t="s">
        <v>27</v>
      </c>
      <c r="H18" s="645">
        <v>1812305</v>
      </c>
      <c r="I18" s="645">
        <v>1179947.86</v>
      </c>
      <c r="J18" s="645">
        <f>K18-I18</f>
        <v>1437540.14</v>
      </c>
      <c r="K18" s="645">
        <v>2617488</v>
      </c>
      <c r="L18" s="615">
        <v>2671788</v>
      </c>
    </row>
    <row r="19" spans="1:12" customHeight="1" ht="17.1" s="2" customFormat="1">
      <c r="B19" s="9" t="s">
        <v>28</v>
      </c>
      <c r="C19" s="9"/>
      <c r="D19" s="9"/>
      <c r="E19" s="9"/>
      <c r="F19" s="9"/>
      <c r="G19" s="213" t="s">
        <v>29</v>
      </c>
      <c r="H19" s="537">
        <v>48000</v>
      </c>
      <c r="I19" s="537">
        <v>31909.09</v>
      </c>
      <c r="J19" s="537">
        <f>K19-I19</f>
        <v>40090.91</v>
      </c>
      <c r="K19" s="537">
        <v>72000</v>
      </c>
      <c r="L19" s="533">
        <v>72000</v>
      </c>
    </row>
    <row r="20" spans="1:12" customHeight="1" ht="17.1" s="2" customFormat="1">
      <c r="B20" s="9" t="s">
        <v>30</v>
      </c>
      <c r="C20" s="9"/>
      <c r="D20" s="9"/>
      <c r="E20" s="9"/>
      <c r="F20" s="9"/>
      <c r="G20" s="213" t="s">
        <v>31</v>
      </c>
      <c r="H20" s="537">
        <v>81000</v>
      </c>
      <c r="I20" s="537">
        <v>40500</v>
      </c>
      <c r="J20" s="537">
        <f>K20-I20</f>
        <v>40500</v>
      </c>
      <c r="K20" s="537">
        <v>81000</v>
      </c>
      <c r="L20" s="533">
        <v>81000</v>
      </c>
    </row>
    <row r="21" spans="1:12" customHeight="1" ht="17.1" s="2" customFormat="1">
      <c r="B21" s="9" t="s">
        <v>32</v>
      </c>
      <c r="C21" s="9"/>
      <c r="D21" s="9"/>
      <c r="E21" s="9"/>
      <c r="F21" s="9"/>
      <c r="G21" s="213" t="s">
        <v>33</v>
      </c>
      <c r="H21" s="537">
        <v>81000</v>
      </c>
      <c r="I21" s="537">
        <v>40500</v>
      </c>
      <c r="J21" s="537">
        <f>K21-I21</f>
        <v>40500</v>
      </c>
      <c r="K21" s="537">
        <v>81000</v>
      </c>
      <c r="L21" s="533">
        <v>81000</v>
      </c>
    </row>
    <row r="22" spans="1:12" customHeight="1" ht="17.1" s="2" customFormat="1">
      <c r="B22" s="9" t="s">
        <v>34</v>
      </c>
      <c r="C22" s="9"/>
      <c r="D22" s="9"/>
      <c r="E22" s="9"/>
      <c r="F22" s="9"/>
      <c r="G22" s="213" t="s">
        <v>53</v>
      </c>
      <c r="H22" s="537">
        <v>6000</v>
      </c>
      <c r="I22" s="537">
        <v>12000</v>
      </c>
      <c r="J22" s="537">
        <f>K22-I22</f>
        <v>6000</v>
      </c>
      <c r="K22" s="537">
        <v>18000</v>
      </c>
      <c r="L22" s="533">
        <v>18000</v>
      </c>
    </row>
    <row r="23" spans="1:12" customHeight="1" ht="17.1" s="2" customFormat="1">
      <c r="B23" s="9" t="s">
        <v>36</v>
      </c>
      <c r="C23" s="9"/>
      <c r="D23" s="9"/>
      <c r="E23" s="9"/>
      <c r="F23" s="9"/>
      <c r="G23" s="213" t="s">
        <v>37</v>
      </c>
      <c r="H23" s="537">
        <v>151485.68</v>
      </c>
      <c r="I23" s="537">
        <v>0</v>
      </c>
      <c r="J23" s="537">
        <f>K23-I23</f>
        <v>100000</v>
      </c>
      <c r="K23" s="537">
        <v>100000</v>
      </c>
      <c r="L23" s="533">
        <v>100000</v>
      </c>
    </row>
    <row r="24" spans="1:12" customHeight="1" ht="17.1" s="2" customFormat="1">
      <c r="B24" s="9" t="s">
        <v>38</v>
      </c>
      <c r="C24" s="9"/>
      <c r="D24" s="9"/>
      <c r="E24" s="9"/>
      <c r="F24" s="9"/>
      <c r="G24" s="213" t="s">
        <v>39</v>
      </c>
      <c r="H24" s="537">
        <v>150571</v>
      </c>
      <c r="I24" s="537">
        <v>0</v>
      </c>
      <c r="J24" s="537">
        <f>K24-I24</f>
        <v>218124</v>
      </c>
      <c r="K24" s="537">
        <v>218124</v>
      </c>
      <c r="L24" s="533">
        <v>222649</v>
      </c>
    </row>
    <row r="25" spans="1:12" customHeight="1" ht="17.1" s="2" customFormat="1">
      <c r="B25" s="9" t="s">
        <v>40</v>
      </c>
      <c r="C25" s="9"/>
      <c r="D25" s="9"/>
      <c r="E25" s="9"/>
      <c r="F25" s="9"/>
      <c r="G25" s="213" t="s">
        <v>41</v>
      </c>
      <c r="H25" s="537">
        <v>10000</v>
      </c>
      <c r="I25" s="537">
        <v>0</v>
      </c>
      <c r="J25" s="537">
        <f>K25-I25</f>
        <v>15000</v>
      </c>
      <c r="K25" s="537">
        <v>15000</v>
      </c>
      <c r="L25" s="533">
        <v>15000</v>
      </c>
    </row>
    <row r="26" spans="1:12" customHeight="1" ht="17.1" s="40" customFormat="1">
      <c r="B26" s="33" t="s">
        <v>42</v>
      </c>
      <c r="C26" s="33"/>
      <c r="D26" s="33"/>
      <c r="E26" s="33"/>
      <c r="F26" s="414"/>
      <c r="G26" s="208" t="s">
        <v>43</v>
      </c>
      <c r="H26" s="404">
        <v>160571</v>
      </c>
      <c r="I26" s="404">
        <v>155157</v>
      </c>
      <c r="J26" s="537">
        <f>K26-I26</f>
        <v>77967</v>
      </c>
      <c r="K26" s="404">
        <v>233124</v>
      </c>
      <c r="L26" s="405">
        <f>SUM(F27:F28)</f>
        <v>237649</v>
      </c>
    </row>
    <row r="27" spans="1:12" customHeight="1" ht="17.1" s="2" customFormat="1">
      <c r="B27" s="29" t="s">
        <v>44</v>
      </c>
      <c r="C27" s="9"/>
      <c r="D27" s="9"/>
      <c r="E27" s="9"/>
      <c r="F27" s="664">
        <f>L24</f>
        <v>222649</v>
      </c>
      <c r="G27" s="213"/>
      <c r="H27" s="537"/>
      <c r="I27" s="537"/>
      <c r="J27" s="537"/>
      <c r="K27" s="537"/>
      <c r="L27" s="533"/>
    </row>
    <row r="28" spans="1:12" customHeight="1" ht="17.1" s="2" customFormat="1">
      <c r="B28" s="29" t="s">
        <v>45</v>
      </c>
      <c r="C28" s="9"/>
      <c r="D28" s="9"/>
      <c r="E28" s="9"/>
      <c r="F28" s="665">
        <v>15000</v>
      </c>
      <c r="G28" s="213"/>
      <c r="H28" s="537"/>
      <c r="I28" s="537"/>
      <c r="J28" s="537"/>
      <c r="K28" s="537"/>
      <c r="L28" s="533"/>
    </row>
    <row r="29" spans="1:12" customHeight="1" ht="17.1" s="2" customFormat="1">
      <c r="B29" s="9" t="s">
        <v>46</v>
      </c>
      <c r="C29" s="9"/>
      <c r="D29" s="9"/>
      <c r="E29" s="9"/>
      <c r="F29" s="9"/>
      <c r="G29" s="213" t="s">
        <v>47</v>
      </c>
      <c r="H29" s="537">
        <v>216996.6</v>
      </c>
      <c r="I29" s="537">
        <v>141449.71</v>
      </c>
      <c r="J29" s="537">
        <f>K29-I29</f>
        <v>172648.85</v>
      </c>
      <c r="K29" s="537">
        <v>314098.56</v>
      </c>
      <c r="L29" s="533">
        <v>320614.56</v>
      </c>
    </row>
    <row r="30" spans="1:12" customHeight="1" ht="17.1" s="2" customFormat="1">
      <c r="B30" s="9" t="s">
        <v>48</v>
      </c>
      <c r="C30" s="9"/>
      <c r="D30" s="9"/>
      <c r="E30" s="9"/>
      <c r="F30" s="9"/>
      <c r="G30" s="213" t="s">
        <v>49</v>
      </c>
      <c r="H30" s="537">
        <v>2400</v>
      </c>
      <c r="I30" s="537">
        <v>1600</v>
      </c>
      <c r="J30" s="537">
        <f>K30-I30</f>
        <v>2000</v>
      </c>
      <c r="K30" s="537">
        <v>3600</v>
      </c>
      <c r="L30" s="533">
        <v>3600</v>
      </c>
    </row>
    <row r="31" spans="1:12" customHeight="1" ht="17.1" s="2" customFormat="1">
      <c r="B31" s="9" t="s">
        <v>50</v>
      </c>
      <c r="C31" s="9"/>
      <c r="D31" s="9"/>
      <c r="E31" s="9"/>
      <c r="F31" s="9"/>
      <c r="G31" s="213" t="s">
        <v>51</v>
      </c>
      <c r="H31" s="537">
        <v>21600</v>
      </c>
      <c r="I31" s="537">
        <v>14400</v>
      </c>
      <c r="J31" s="537">
        <f>K31-I31</f>
        <v>35024.16</v>
      </c>
      <c r="K31" s="537">
        <v>49424.16</v>
      </c>
      <c r="L31" s="533">
        <v>59054.4</v>
      </c>
    </row>
    <row r="32" spans="1:12" customHeight="1" ht="17.1" s="2" customFormat="1">
      <c r="B32" s="9" t="s">
        <v>52</v>
      </c>
      <c r="C32" s="9"/>
      <c r="D32" s="9"/>
      <c r="E32" s="9"/>
      <c r="F32" s="9"/>
      <c r="G32" s="213" t="s">
        <v>53</v>
      </c>
      <c r="H32" s="537">
        <v>2400</v>
      </c>
      <c r="I32" s="537">
        <v>1600</v>
      </c>
      <c r="J32" s="537">
        <f>K32-I32</f>
        <v>2000</v>
      </c>
      <c r="K32" s="537">
        <v>3600</v>
      </c>
      <c r="L32" s="533">
        <v>3600</v>
      </c>
    </row>
    <row r="33" spans="1:12" customHeight="1" ht="17.1" s="2" customFormat="1">
      <c r="B33" s="9" t="s">
        <v>58</v>
      </c>
      <c r="C33" s="9"/>
      <c r="D33" s="9"/>
      <c r="E33" s="9"/>
      <c r="F33" s="9"/>
      <c r="G33" s="213" t="s">
        <v>59</v>
      </c>
      <c r="H33" s="541">
        <v>50000</v>
      </c>
      <c r="I33" s="541">
        <v>0</v>
      </c>
      <c r="J33" s="541">
        <v>0</v>
      </c>
      <c r="K33" s="541">
        <v>0</v>
      </c>
      <c r="L33" s="557">
        <v>0</v>
      </c>
    </row>
    <row r="34" spans="1:12" customHeight="1" ht="17.1" s="626" customFormat="1">
      <c r="A34" s="543" t="s">
        <v>61</v>
      </c>
      <c r="B34" s="543"/>
      <c r="C34" s="543"/>
      <c r="D34" s="543"/>
      <c r="E34" s="543"/>
      <c r="F34" s="543"/>
      <c r="G34" s="622"/>
      <c r="H34" s="546">
        <f>SUM(H18:H33)</f>
        <v>2794329.28</v>
      </c>
      <c r="I34" s="546">
        <f>SUM(I18:I33)</f>
        <v>1619063.66</v>
      </c>
      <c r="J34" s="546">
        <f>SUM(J18:J33)</f>
        <v>2187395.06</v>
      </c>
      <c r="K34" s="546">
        <f>SUM(K18:K33)</f>
        <v>3806458.72</v>
      </c>
      <c r="L34" s="624">
        <f>SUM(L18:L33)</f>
        <v>3885954.96</v>
      </c>
    </row>
    <row r="35" spans="1:12" customHeight="1" ht="17.1" s="626" customFormat="1">
      <c r="A35" s="6"/>
      <c r="B35" s="6"/>
      <c r="C35" s="6"/>
      <c r="D35" s="6"/>
      <c r="E35" s="6"/>
      <c r="F35" s="6"/>
      <c r="G35" s="253"/>
      <c r="H35" s="627"/>
      <c r="I35" s="627"/>
      <c r="J35" s="627"/>
      <c r="K35" s="627"/>
      <c r="L35" s="629"/>
    </row>
    <row r="36" spans="1:12" customHeight="1" ht="21.95" s="531" customFormat="1">
      <c r="A36" s="59" t="s">
        <v>62</v>
      </c>
      <c r="B36" s="15"/>
      <c r="C36" s="15"/>
      <c r="D36" s="15"/>
      <c r="E36" s="15"/>
      <c r="F36" s="15"/>
      <c r="G36" s="213"/>
      <c r="H36" s="537"/>
      <c r="I36" s="537"/>
      <c r="J36" s="537"/>
      <c r="K36" s="537"/>
      <c r="L36" s="533"/>
    </row>
    <row r="37" spans="1:12" customHeight="1" ht="21.95" s="2" customFormat="1">
      <c r="B37" s="9" t="s">
        <v>63</v>
      </c>
      <c r="C37" s="9"/>
      <c r="D37" s="9"/>
      <c r="E37" s="9"/>
      <c r="F37" s="9"/>
      <c r="G37" s="238" t="s">
        <v>64</v>
      </c>
      <c r="H37" s="645">
        <v>6400</v>
      </c>
      <c r="I37" s="645">
        <v>175700</v>
      </c>
      <c r="J37" s="645">
        <f>K37-I37</f>
        <v>60300</v>
      </c>
      <c r="K37" s="645">
        <v>236000</v>
      </c>
      <c r="L37" s="615">
        <v>100000</v>
      </c>
    </row>
    <row r="38" spans="1:12" customHeight="1" ht="21.95" s="2" customFormat="1">
      <c r="B38" s="9" t="s">
        <v>72</v>
      </c>
      <c r="C38" s="9"/>
      <c r="D38" s="9"/>
      <c r="E38" s="9"/>
      <c r="F38" s="9"/>
      <c r="G38" s="238" t="s">
        <v>73</v>
      </c>
      <c r="H38" s="537"/>
      <c r="I38" s="537">
        <v>0</v>
      </c>
      <c r="J38" s="537">
        <f>K38-I38</f>
        <v>10000</v>
      </c>
      <c r="K38" s="537">
        <v>10000</v>
      </c>
      <c r="L38" s="533">
        <v>50000</v>
      </c>
    </row>
    <row r="39" spans="1:12" customHeight="1" ht="21.95" s="2" customFormat="1">
      <c r="B39" s="9" t="s">
        <v>234</v>
      </c>
      <c r="C39" s="9"/>
      <c r="D39" s="9"/>
      <c r="E39" s="9"/>
      <c r="F39" s="9"/>
      <c r="G39" s="238" t="s">
        <v>77</v>
      </c>
      <c r="H39" s="537"/>
      <c r="I39" s="537">
        <v>0</v>
      </c>
      <c r="J39" s="537">
        <f>K39-I39</f>
        <v>100000</v>
      </c>
      <c r="K39" s="537">
        <v>100000</v>
      </c>
      <c r="L39" s="533">
        <v>100000</v>
      </c>
    </row>
    <row r="40" spans="1:12" customHeight="1" ht="21.95" s="2" customFormat="1">
      <c r="B40" s="9" t="s">
        <v>79</v>
      </c>
      <c r="C40" s="9"/>
      <c r="D40" s="9"/>
      <c r="E40" s="9"/>
      <c r="F40" s="9"/>
      <c r="G40" s="238" t="s">
        <v>80</v>
      </c>
      <c r="H40" s="537">
        <v>119944</v>
      </c>
      <c r="I40" s="537">
        <v>0</v>
      </c>
      <c r="J40" s="537">
        <f>K40-I40</f>
        <v>200000</v>
      </c>
      <c r="K40" s="537">
        <v>200000</v>
      </c>
      <c r="L40" s="533">
        <v>200000</v>
      </c>
    </row>
    <row r="41" spans="1:12" customHeight="1" ht="21.95" s="2" customFormat="1">
      <c r="B41" s="9" t="s">
        <v>752</v>
      </c>
      <c r="C41" s="9"/>
      <c r="D41" s="9"/>
      <c r="E41" s="9"/>
      <c r="F41" s="9"/>
      <c r="G41" s="238" t="s">
        <v>96</v>
      </c>
      <c r="H41" s="537">
        <v>49426.51</v>
      </c>
      <c r="I41" s="537">
        <v>0</v>
      </c>
      <c r="J41" s="537">
        <f>K41-I41</f>
        <v>50000</v>
      </c>
      <c r="K41" s="537">
        <v>50000</v>
      </c>
      <c r="L41" s="533">
        <v>50000</v>
      </c>
    </row>
    <row r="42" spans="1:12" customHeight="1" ht="21.95" s="2" customFormat="1">
      <c r="B42" s="9" t="s">
        <v>753</v>
      </c>
      <c r="C42" s="9"/>
      <c r="D42" s="9"/>
      <c r="E42" s="9"/>
      <c r="F42" s="9"/>
      <c r="G42" s="238" t="s">
        <v>100</v>
      </c>
      <c r="H42" s="537"/>
      <c r="I42" s="537">
        <v>0</v>
      </c>
      <c r="J42" s="537">
        <f>K42-I42</f>
        <v>50000</v>
      </c>
      <c r="K42" s="537">
        <v>50000</v>
      </c>
      <c r="L42" s="533">
        <v>30000</v>
      </c>
    </row>
    <row r="43" spans="1:12" customHeight="1" ht="21.95" s="2" customFormat="1">
      <c r="B43" s="9" t="s">
        <v>754</v>
      </c>
      <c r="C43" s="9"/>
      <c r="D43" s="9"/>
      <c r="E43" s="9"/>
      <c r="F43" s="9"/>
      <c r="G43" s="238" t="s">
        <v>102</v>
      </c>
      <c r="H43" s="537">
        <v>143076</v>
      </c>
      <c r="I43" s="537">
        <v>21960</v>
      </c>
      <c r="J43" s="537">
        <f>K43-I43</f>
        <v>78040</v>
      </c>
      <c r="K43" s="537">
        <v>100000</v>
      </c>
      <c r="L43" s="533">
        <v>50000</v>
      </c>
    </row>
    <row r="44" spans="1:12" customHeight="1" ht="21.95" s="2" customFormat="1">
      <c r="B44" s="9" t="s">
        <v>142</v>
      </c>
      <c r="C44" s="9"/>
      <c r="D44" s="9"/>
      <c r="E44" s="9"/>
      <c r="F44" s="1245"/>
      <c r="G44" s="213" t="s">
        <v>143</v>
      </c>
      <c r="H44" s="537">
        <v>101128.21</v>
      </c>
      <c r="I44" s="537">
        <v>5478.12</v>
      </c>
      <c r="J44" s="537">
        <f>K44-I44</f>
        <v>198521.88</v>
      </c>
      <c r="K44" s="537">
        <v>204000</v>
      </c>
      <c r="L44" s="533">
        <v>150000</v>
      </c>
    </row>
    <row r="45" spans="1:12" customHeight="1" ht="21.95" s="2" customFormat="1">
      <c r="B45" s="671" t="s">
        <v>150</v>
      </c>
      <c r="C45" s="9"/>
      <c r="D45" s="9"/>
      <c r="E45" s="9"/>
      <c r="F45" s="1245"/>
      <c r="G45" s="213" t="s">
        <v>107</v>
      </c>
      <c r="H45" s="537">
        <v>3233363.9</v>
      </c>
      <c r="I45" s="537">
        <v>848000</v>
      </c>
      <c r="J45" s="537">
        <f>K45-I45</f>
        <v>652000</v>
      </c>
      <c r="K45" s="537">
        <v>1500000</v>
      </c>
      <c r="L45" s="533">
        <v>1500000</v>
      </c>
    </row>
    <row r="46" spans="1:12" customHeight="1" ht="21.95" s="2" customFormat="1">
      <c r="B46" s="29" t="s">
        <v>755</v>
      </c>
      <c r="C46" s="9"/>
      <c r="D46" s="9"/>
      <c r="E46" s="9"/>
      <c r="F46" s="1245"/>
      <c r="G46" s="213"/>
      <c r="H46" s="541">
        <v>0</v>
      </c>
      <c r="I46" s="541">
        <v>0</v>
      </c>
      <c r="J46" s="541">
        <v>0</v>
      </c>
      <c r="K46" s="541">
        <v>0</v>
      </c>
      <c r="L46" s="557">
        <v>0</v>
      </c>
    </row>
    <row r="47" spans="1:12" customHeight="1" ht="21.95" s="550" customFormat="1">
      <c r="A47" s="6" t="s">
        <v>160</v>
      </c>
      <c r="B47" s="6"/>
      <c r="C47" s="6"/>
      <c r="D47" s="6"/>
      <c r="E47" s="6"/>
      <c r="F47" s="6"/>
      <c r="G47" s="712"/>
      <c r="H47" s="627">
        <f>SUM(H37:H46)</f>
        <v>3653338.62</v>
      </c>
      <c r="I47" s="627">
        <f>SUM(I37:I46)</f>
        <v>1051138.12</v>
      </c>
      <c r="J47" s="627">
        <f>SUM(J37:J46)</f>
        <v>1398861.88</v>
      </c>
      <c r="K47" s="627">
        <f>SUM(K37:K46)</f>
        <v>2450000</v>
      </c>
      <c r="L47" s="629">
        <f>SUM(L37:L46)</f>
        <v>2230000</v>
      </c>
    </row>
    <row r="48" spans="1:12" customHeight="1" ht="21.95" s="626" customFormat="1">
      <c r="A48" s="6" t="s">
        <v>756</v>
      </c>
      <c r="B48" s="6"/>
      <c r="C48" s="6"/>
      <c r="D48" s="6"/>
      <c r="E48" s="6"/>
      <c r="F48" s="6"/>
      <c r="G48" s="712"/>
      <c r="H48" s="627">
        <f>+H47+H34</f>
        <v>6447667.9</v>
      </c>
      <c r="I48" s="627">
        <f>+I47+I34</f>
        <v>2670201.78</v>
      </c>
      <c r="J48" s="627">
        <f>+J47+J34</f>
        <v>3586256.94</v>
      </c>
      <c r="K48" s="627">
        <f>+K47+K34</f>
        <v>6256458.72</v>
      </c>
      <c r="L48" s="629">
        <f>+L47+L34</f>
        <v>6115954.96</v>
      </c>
    </row>
    <row r="49" spans="1:12" customHeight="1" ht="18" s="626" customFormat="1">
      <c r="A49" s="543"/>
      <c r="B49" s="543"/>
      <c r="C49" s="543"/>
      <c r="D49" s="543"/>
      <c r="E49" s="543"/>
      <c r="F49" s="543"/>
      <c r="G49" s="714"/>
      <c r="H49" s="546"/>
      <c r="I49" s="546"/>
      <c r="J49" s="546"/>
      <c r="K49" s="546"/>
      <c r="L49" s="624"/>
    </row>
    <row r="50" spans="1:12" customHeight="1" ht="18" s="1250" customFormat="1">
      <c r="A50" s="59" t="s">
        <v>162</v>
      </c>
      <c r="B50" s="1246"/>
      <c r="C50" s="1246"/>
      <c r="D50" s="1246"/>
      <c r="E50" s="1246"/>
      <c r="F50" s="1246"/>
      <c r="G50" s="1247"/>
      <c r="H50" s="1248"/>
      <c r="I50" s="1248"/>
      <c r="J50" s="1248"/>
      <c r="K50" s="1248"/>
      <c r="L50" s="1249"/>
    </row>
    <row r="51" spans="1:12" customHeight="1" ht="18" s="2" customFormat="1">
      <c r="B51" s="1251" t="s">
        <v>163</v>
      </c>
      <c r="C51" s="1252"/>
      <c r="D51" s="1252"/>
      <c r="E51" s="1252"/>
      <c r="F51" s="1253"/>
      <c r="G51" s="213" t="s">
        <v>164</v>
      </c>
      <c r="H51" s="645">
        <v>29950</v>
      </c>
      <c r="I51" s="645">
        <v>0</v>
      </c>
      <c r="J51" s="645">
        <f>K51-I51</f>
        <v>50000</v>
      </c>
      <c r="K51" s="645">
        <v>50000</v>
      </c>
      <c r="L51" s="615">
        <v>25000</v>
      </c>
    </row>
    <row r="52" spans="1:12" customHeight="1" ht="18" s="1157" customFormat="1">
      <c r="A52" s="1254" t="s">
        <v>757</v>
      </c>
      <c r="B52" s="1251" t="s">
        <v>248</v>
      </c>
      <c r="C52" s="1252"/>
      <c r="D52" s="1252"/>
      <c r="E52" s="1252"/>
      <c r="F52" s="1253"/>
      <c r="G52" s="213" t="s">
        <v>167</v>
      </c>
      <c r="H52" s="1166">
        <v>0</v>
      </c>
      <c r="I52" s="1166">
        <v>12190</v>
      </c>
      <c r="J52" s="541">
        <f>K52-I52</f>
        <v>37810</v>
      </c>
      <c r="K52" s="1166">
        <v>50000</v>
      </c>
      <c r="L52" s="557">
        <v>25000</v>
      </c>
    </row>
    <row r="53" spans="1:12" customHeight="1" ht="18" s="550" customFormat="1">
      <c r="A53" s="6" t="s">
        <v>172</v>
      </c>
      <c r="B53" s="6"/>
      <c r="C53" s="6"/>
      <c r="D53" s="6"/>
      <c r="E53" s="6"/>
      <c r="F53" s="6"/>
      <c r="G53" s="243"/>
      <c r="H53" s="776">
        <f>SUM(H51:H52)</f>
        <v>29950</v>
      </c>
      <c r="I53" s="776">
        <f>SUM(I51:I52)</f>
        <v>12190</v>
      </c>
      <c r="J53" s="776">
        <f>SUM(J51:J52)</f>
        <v>87810</v>
      </c>
      <c r="K53" s="776">
        <f>SUM(K51:K52)</f>
        <v>100000</v>
      </c>
      <c r="L53" s="810">
        <f>SUM(L51:L52)</f>
        <v>50000</v>
      </c>
    </row>
    <row r="54" spans="1:12" customHeight="1" ht="18" s="550" customFormat="1">
      <c r="A54" s="6"/>
      <c r="B54" s="6"/>
      <c r="C54" s="6"/>
      <c r="D54" s="6"/>
      <c r="E54" s="6"/>
      <c r="F54" s="6"/>
      <c r="G54" s="243"/>
      <c r="H54" s="776"/>
      <c r="I54" s="776"/>
      <c r="J54" s="776"/>
      <c r="K54" s="776"/>
      <c r="L54" s="810"/>
    </row>
    <row r="55" spans="1:12" customHeight="1" ht="18" s="550" customFormat="1">
      <c r="A55" s="6" t="s">
        <v>252</v>
      </c>
      <c r="B55" s="6"/>
      <c r="C55" s="6"/>
      <c r="D55" s="6"/>
      <c r="E55" s="6"/>
      <c r="F55" s="6"/>
      <c r="G55" s="243"/>
      <c r="H55" s="794">
        <f>+H53+H48</f>
        <v>6477617.9</v>
      </c>
      <c r="I55" s="794">
        <f>+I53+I48</f>
        <v>2682391.78</v>
      </c>
      <c r="J55" s="794">
        <f>+J53+J48</f>
        <v>3674066.94</v>
      </c>
      <c r="K55" s="794">
        <f>+K53+K48</f>
        <v>6356458.72</v>
      </c>
      <c r="L55" s="1193">
        <f>+L53+L48</f>
        <v>6165954.96</v>
      </c>
    </row>
    <row r="56" spans="1:12" customHeight="1" ht="18" s="550" customFormat="1">
      <c r="A56" s="6"/>
      <c r="B56" s="6"/>
      <c r="C56" s="6"/>
      <c r="D56" s="6"/>
      <c r="E56" s="6"/>
      <c r="F56" s="6"/>
      <c r="G56" s="243"/>
      <c r="H56" s="794"/>
      <c r="I56" s="794"/>
      <c r="J56" s="794"/>
      <c r="K56" s="794"/>
      <c r="L56" s="1193"/>
    </row>
    <row r="57" spans="1:12" customHeight="1" ht="18" s="9" customFormat="1">
      <c r="A57" s="876"/>
      <c r="B57" s="73"/>
      <c r="C57" s="73"/>
      <c r="D57" s="73"/>
      <c r="E57" s="73"/>
      <c r="F57" s="73"/>
      <c r="G57" s="720"/>
      <c r="H57" s="720"/>
      <c r="I57" s="720"/>
      <c r="J57" s="720"/>
      <c r="K57" s="262"/>
      <c r="L57" s="813"/>
    </row>
    <row r="58" spans="1:12" customHeight="1" ht="18" s="273" customFormat="1">
      <c r="A58" s="6"/>
      <c r="B58" s="6"/>
      <c r="G58" s="508"/>
      <c r="H58" s="508"/>
    </row>
    <row r="59" spans="1:12" customHeight="1" ht="18" s="9" customFormat="1">
      <c r="A59" s="9" t="s">
        <v>182</v>
      </c>
      <c r="I59" s="509"/>
      <c r="J59" s="509"/>
      <c r="K59" s="509"/>
      <c r="L59" s="509"/>
    </row>
    <row r="60" spans="1:12" customHeight="1" ht="18" s="9" customFormat="1">
      <c r="G60" s="510"/>
      <c r="H60" s="510"/>
      <c r="I60" s="510"/>
      <c r="J60" s="510"/>
      <c r="K60" s="510"/>
      <c r="L60" s="510"/>
    </row>
    <row r="61" spans="1:12" customHeight="1" ht="18" s="9" customFormat="1">
      <c r="A61" s="1493" t="s">
        <v>183</v>
      </c>
      <c r="B61" s="1493"/>
      <c r="C61" s="1493"/>
      <c r="D61" s="511"/>
      <c r="E61" s="511"/>
      <c r="F61" s="512" t="s">
        <v>184</v>
      </c>
      <c r="G61" s="509"/>
      <c r="H61" s="509"/>
      <c r="I61" s="509"/>
      <c r="J61" s="510" t="s">
        <v>185</v>
      </c>
      <c r="K61" s="1494"/>
      <c r="L61" s="1494"/>
    </row>
    <row r="62" spans="1:12" customHeight="1" ht="18" s="9" customFormat="1"/>
    <row r="63" spans="1:12" customHeight="1" ht="18" s="9" customFormat="1"/>
    <row r="64" spans="1:12" customHeight="1" ht="18" s="11" customFormat="1">
      <c r="A64" s="1489" t="s">
        <v>758</v>
      </c>
      <c r="B64" s="1489"/>
      <c r="C64" s="1489"/>
      <c r="D64" s="1489"/>
      <c r="E64" s="1489"/>
      <c r="F64" s="1489" t="s">
        <v>187</v>
      </c>
      <c r="G64" s="1489"/>
      <c r="H64" s="1489"/>
      <c r="I64" s="1489"/>
      <c r="J64" s="1489" t="s">
        <v>186</v>
      </c>
      <c r="K64" s="1489"/>
      <c r="L64" s="1489"/>
    </row>
    <row r="65" spans="1:12" customHeight="1" ht="12" s="11" customFormat="1">
      <c r="A65" s="1468" t="s">
        <v>189</v>
      </c>
      <c r="B65" s="1468"/>
      <c r="C65" s="1468"/>
      <c r="D65" s="1468"/>
      <c r="E65" s="1468"/>
      <c r="F65" s="1468" t="s">
        <v>189</v>
      </c>
      <c r="G65" s="1468"/>
      <c r="H65" s="1468"/>
      <c r="I65" s="1468"/>
      <c r="J65" s="1468" t="s">
        <v>188</v>
      </c>
      <c r="K65" s="1468"/>
      <c r="L65" s="1468"/>
    </row>
    <row r="66" spans="1:12" customHeight="1" ht="12" s="9" customFormat="1">
      <c r="A66" s="1468" t="s">
        <v>759</v>
      </c>
      <c r="B66" s="1468"/>
      <c r="C66" s="1468"/>
      <c r="D66" s="1468"/>
      <c r="E66" s="1468"/>
      <c r="F66" s="1468" t="s">
        <v>190</v>
      </c>
      <c r="G66" s="1468"/>
      <c r="H66" s="1468"/>
      <c r="I66" s="1468"/>
      <c r="J66" s="1468"/>
      <c r="K66" s="1468"/>
      <c r="L66" s="1468"/>
    </row>
    <row r="67" spans="1:12" customHeight="1" ht="18" s="9" customFormat="1"/>
    <row r="68" spans="1:12" customHeight="1" ht="16.9" s="9" customFormat="1">
      <c r="A68" s="7"/>
      <c r="G68" s="591"/>
      <c r="H68" s="591"/>
      <c r="I68" s="591"/>
      <c r="J68" s="591"/>
      <c r="L68" s="533"/>
    </row>
    <row r="69" spans="1:12" customHeight="1" ht="16.9">
      <c r="A69" s="7"/>
      <c r="B69" s="7"/>
      <c r="C69" s="7"/>
      <c r="D69" s="7"/>
      <c r="E69" s="7"/>
      <c r="G69" s="320"/>
      <c r="H69" s="591"/>
      <c r="I69" s="591"/>
      <c r="J69" s="591"/>
      <c r="K69" s="754"/>
    </row>
    <row r="70" spans="1:12" customHeight="1" ht="14.25" s="4" customFormat="1">
      <c r="A70" s="11"/>
      <c r="B70" s="11"/>
      <c r="C70" s="11"/>
      <c r="D70" s="11"/>
      <c r="E70" s="11"/>
      <c r="G70" s="593"/>
      <c r="H70" s="594"/>
      <c r="I70" s="594"/>
      <c r="J70" s="594"/>
      <c r="K70" s="593"/>
      <c r="L70" s="593"/>
    </row>
    <row r="71" spans="1:12" customHeight="1" ht="19.15">
      <c r="A71" s="7"/>
      <c r="B71" s="7"/>
      <c r="C71" s="7"/>
      <c r="D71" s="7"/>
      <c r="E71" s="7"/>
      <c r="F71" s="7"/>
      <c r="G71" s="7"/>
      <c r="H71" s="693"/>
      <c r="I71" s="693"/>
      <c r="J71" s="693"/>
      <c r="K71" s="597"/>
    </row>
    <row r="72" spans="1:12" customHeight="1" ht="13.9" s="694" customFormat="1">
      <c r="A72" s="1489"/>
      <c r="B72" s="1489"/>
      <c r="C72" s="1489"/>
      <c r="D72" s="1489"/>
      <c r="E72" s="317"/>
      <c r="G72" s="1498"/>
      <c r="H72" s="1498"/>
      <c r="I72" s="695"/>
      <c r="J72" s="695"/>
      <c r="K72" s="1498"/>
      <c r="L72" s="1498"/>
    </row>
    <row r="73" spans="1:12" customHeight="1" ht="13.15" s="10" customFormat="1">
      <c r="A73" s="1495"/>
      <c r="B73" s="1495"/>
      <c r="C73" s="1495"/>
      <c r="D73" s="1495"/>
      <c r="E73" s="600"/>
      <c r="G73" s="1495"/>
      <c r="H73" s="1495"/>
      <c r="I73" s="600"/>
      <c r="J73" s="600"/>
      <c r="K73" s="1495"/>
      <c r="L73" s="1495"/>
    </row>
    <row r="74" spans="1:12" customHeight="1" ht="14.25" s="10" customFormat="1">
      <c r="A74" s="1508"/>
      <c r="B74" s="1508"/>
      <c r="C74" s="1508"/>
      <c r="D74" s="1508"/>
      <c r="E74" s="752"/>
      <c r="G74" s="1495"/>
      <c r="H74" s="1495"/>
      <c r="I74" s="600"/>
      <c r="J74" s="600"/>
      <c r="K74" s="659"/>
      <c r="L74" s="6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4:D74"/>
    <mergeCell ref="G74:H74"/>
    <mergeCell ref="A72:D72"/>
    <mergeCell ref="G72:H72"/>
    <mergeCell ref="K72:L72"/>
    <mergeCell ref="A73:D73"/>
    <mergeCell ref="G73:H73"/>
    <mergeCell ref="K73:L73"/>
    <mergeCell ref="A65:E65"/>
    <mergeCell ref="F65:I65"/>
    <mergeCell ref="J65:L65"/>
    <mergeCell ref="A66:E66"/>
    <mergeCell ref="F66:I66"/>
    <mergeCell ref="J66:L66"/>
    <mergeCell ref="A15:F15"/>
    <mergeCell ref="A61:C61"/>
    <mergeCell ref="K61:L61"/>
    <mergeCell ref="A64:E64"/>
    <mergeCell ref="F64:I64"/>
    <mergeCell ref="J64:L64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75"/>
  <sheetViews>
    <sheetView tabSelected="0" workbookViewId="0" view="pageBreakPreview" showGridLines="false" showRowColHeaders="1">
      <selection activeCell="O22" sqref="O22"/>
    </sheetView>
  </sheetViews>
  <sheetFormatPr defaultRowHeight="14.4" outlineLevelRow="0" outlineLevelCol="0"/>
  <cols>
    <col min="1" max="1" width="3.5703125" customWidth="true" style="0"/>
    <col min="2" max="2" width="3.5703125" customWidth="true" style="0"/>
    <col min="3" max="3" width="8.140625" customWidth="true" style="0"/>
    <col min="4" max="4" width="17" customWidth="true" style="0"/>
    <col min="5" max="5" width="10.7109375" customWidth="true" style="0"/>
    <col min="6" max="6" width="14.7109375" customWidth="true" style="0"/>
    <col min="7" max="7" width="12.7109375" customWidth="true" style="11"/>
    <col min="8" max="8" width="16.7109375" customWidth="true" style="0"/>
    <col min="9" max="9" width="16.7109375" customWidth="true" style="0"/>
    <col min="10" max="10" width="16.7109375" customWidth="true" style="0"/>
    <col min="11" max="11" width="16.7109375" customWidth="true" style="0"/>
    <col min="12" max="12" width="16.7109375" customWidth="true" style="0"/>
    <col min="13" max="13" width="17" customWidth="true" style="1275"/>
    <col min="14" max="14" width="17" customWidth="true" style="1275"/>
    <col min="15" max="15" width="17" customWidth="true" style="1275"/>
    <col min="16" max="16" width="17" customWidth="true" style="1275"/>
    <col min="17" max="17" width="16.7109375" customWidth="true" style="1275"/>
    <col min="18" max="18" width="16.7109375" customWidth="true" style="1275"/>
    <col min="19" max="19" width="16.7109375" customWidth="true" style="1275"/>
    <col min="20" max="20" width="16.7109375" customWidth="true" style="1276"/>
    <col min="21" max="21" width="16.7109375" customWidth="true" style="1277"/>
  </cols>
  <sheetData>
    <row r="1" spans="1:21" customHeight="1" ht="9.95" s="173" customFormat="1">
      <c r="A1" s="173" t="s">
        <v>0</v>
      </c>
      <c r="J1" s="174"/>
      <c r="L1" s="175"/>
    </row>
    <row r="2" spans="1:21" customHeight="1" ht="9.95" s="173" customFormat="1">
      <c r="A2" s="173" t="s">
        <v>1</v>
      </c>
      <c r="J2" s="174"/>
      <c r="L2" s="175"/>
    </row>
    <row r="3" spans="1:21" customHeight="1" ht="9.95" s="173" customFormat="1">
      <c r="A3" s="173" t="s">
        <v>2</v>
      </c>
      <c r="J3" s="174"/>
      <c r="L3" s="175"/>
    </row>
    <row r="4" spans="1:21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21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21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21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21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760</v>
      </c>
    </row>
    <row r="9" spans="1:21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 t="s">
        <v>761</v>
      </c>
    </row>
    <row r="10" spans="1:21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21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21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21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21" customHeight="1" ht="13.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21" customHeight="1" ht="9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21" customHeight="1" ht="21.95" s="9" customFormat="1">
      <c r="G16" s="886"/>
      <c r="H16" s="213"/>
      <c r="I16" s="213"/>
      <c r="J16" s="213"/>
      <c r="K16" s="213"/>
      <c r="L16" s="533"/>
      <c r="M16" s="1080"/>
      <c r="N16" s="1080"/>
      <c r="O16" s="1080"/>
      <c r="P16" s="1080"/>
      <c r="Q16" s="1080"/>
      <c r="R16" s="1080"/>
      <c r="S16" s="1080"/>
      <c r="T16" s="1255"/>
      <c r="U16" s="1081"/>
    </row>
    <row r="17" spans="1:21" customHeight="1" ht="21.95" s="9" customFormat="1">
      <c r="A17" s="18" t="s">
        <v>762</v>
      </c>
      <c r="G17" s="886" t="s">
        <v>143</v>
      </c>
      <c r="H17" s="1256">
        <v>8083897.12</v>
      </c>
      <c r="I17" s="1256">
        <v>450000</v>
      </c>
      <c r="J17" s="1256">
        <f>K17-I17</f>
        <v>19232933.77</v>
      </c>
      <c r="K17" s="1256">
        <v>19682933.77</v>
      </c>
      <c r="L17" s="655">
        <f>17247107.27-3000</f>
        <v>17244107.27</v>
      </c>
      <c r="M17" s="1080"/>
      <c r="N17" s="1080"/>
      <c r="O17" s="1080"/>
      <c r="P17" s="1080"/>
      <c r="Q17" s="1080"/>
      <c r="R17" s="1080"/>
      <c r="S17" s="1080"/>
      <c r="T17" s="1255"/>
      <c r="U17" s="1081"/>
    </row>
    <row r="18" spans="1:21" customHeight="1" ht="21.95" s="9" customFormat="1">
      <c r="G18" s="886"/>
      <c r="H18" s="588"/>
      <c r="I18" s="588"/>
      <c r="J18" s="588"/>
      <c r="K18" s="213"/>
      <c r="L18" s="533"/>
      <c r="M18" s="1080"/>
      <c r="N18" s="1080"/>
      <c r="O18" s="1080"/>
      <c r="P18" s="1080"/>
      <c r="Q18" s="1080"/>
      <c r="R18" s="1080"/>
      <c r="S18" s="1080"/>
      <c r="T18" s="1255"/>
      <c r="U18" s="1081"/>
    </row>
    <row r="19" spans="1:21" customHeight="1" ht="21.95" s="9" customFormat="1">
      <c r="A19" s="18" t="s">
        <v>763</v>
      </c>
      <c r="G19" s="886"/>
      <c r="H19" s="588"/>
      <c r="I19" s="588"/>
      <c r="J19" s="588"/>
      <c r="K19" s="213"/>
      <c r="L19" s="533"/>
      <c r="M19" s="1080"/>
      <c r="N19" s="1080"/>
      <c r="O19" s="1080"/>
      <c r="P19" s="1080"/>
      <c r="Q19" s="1080"/>
      <c r="R19" s="1080"/>
      <c r="S19" s="1080"/>
      <c r="T19" s="1255"/>
      <c r="U19" s="1081"/>
    </row>
    <row r="20" spans="1:21" customHeight="1" ht="21.95" s="9" customFormat="1">
      <c r="A20" s="18"/>
      <c r="B20" s="731" t="s">
        <v>764</v>
      </c>
      <c r="G20" s="886"/>
      <c r="H20" s="588"/>
      <c r="I20" s="588"/>
      <c r="J20" s="588"/>
      <c r="K20" s="213"/>
      <c r="L20" s="533"/>
      <c r="M20" s="1080"/>
      <c r="N20" s="1080"/>
      <c r="O20" s="1080"/>
      <c r="P20" s="1080"/>
      <c r="Q20" s="1257"/>
      <c r="R20" s="1257"/>
      <c r="S20" s="1080"/>
      <c r="T20" s="1255"/>
      <c r="U20" s="1081"/>
    </row>
    <row r="21" spans="1:21" customHeight="1" ht="21.95" s="9" customFormat="1">
      <c r="A21" s="968"/>
      <c r="C21" s="9" t="s">
        <v>72</v>
      </c>
      <c r="G21" s="886" t="s">
        <v>73</v>
      </c>
      <c r="H21" s="581">
        <f>98642</f>
        <v>98642</v>
      </c>
      <c r="I21" s="581">
        <f>124800</f>
        <v>124800</v>
      </c>
      <c r="J21" s="581">
        <f>K21-I21</f>
        <v>825200</v>
      </c>
      <c r="K21" s="581">
        <f>500000+50000+300000+100000</f>
        <v>950000</v>
      </c>
      <c r="L21" s="1258">
        <v>0</v>
      </c>
      <c r="M21" s="1080"/>
      <c r="N21" s="1080"/>
      <c r="O21" s="1080"/>
      <c r="P21" s="1080"/>
      <c r="Q21" s="1080"/>
      <c r="R21" s="1080"/>
      <c r="S21" s="1080"/>
      <c r="T21" s="1255"/>
      <c r="U21" s="1255"/>
    </row>
    <row r="22" spans="1:21" customHeight="1" ht="21.95" s="9" customFormat="1">
      <c r="A22" s="968"/>
      <c r="C22" s="9" t="s">
        <v>765</v>
      </c>
      <c r="G22" s="886" t="s">
        <v>414</v>
      </c>
      <c r="H22" s="586">
        <f>4585173.65+999689.5</f>
        <v>5584863.15</v>
      </c>
      <c r="I22" s="586">
        <f>375090+1571647.5</f>
        <v>1946737.5</v>
      </c>
      <c r="J22" s="586">
        <f>K22-I22</f>
        <v>3553262.5</v>
      </c>
      <c r="K22" s="586">
        <f>4500000+1000000</f>
        <v>5500000</v>
      </c>
      <c r="L22" s="509">
        <v>0</v>
      </c>
      <c r="M22" s="1080"/>
      <c r="N22" s="1080"/>
      <c r="O22" s="1080"/>
      <c r="P22" s="1080"/>
      <c r="Q22" s="1080"/>
      <c r="R22" s="1080"/>
      <c r="S22" s="1080"/>
      <c r="T22" s="1255"/>
      <c r="U22" s="1255"/>
    </row>
    <row r="23" spans="1:21" customHeight="1" ht="21.95" s="9" customFormat="1">
      <c r="A23" s="968"/>
      <c r="C23" s="9" t="s">
        <v>766</v>
      </c>
      <c r="G23" s="886" t="s">
        <v>102</v>
      </c>
      <c r="H23" s="586">
        <v>0</v>
      </c>
      <c r="I23" s="586">
        <v>0</v>
      </c>
      <c r="J23" s="586">
        <v>0</v>
      </c>
      <c r="K23" s="586">
        <v>0</v>
      </c>
      <c r="L23" s="509">
        <f>2000000+500000</f>
        <v>2500000</v>
      </c>
      <c r="M23" s="1080"/>
      <c r="N23" s="1080"/>
      <c r="O23" s="1080"/>
      <c r="P23" s="1080"/>
      <c r="Q23" s="1080"/>
      <c r="R23" s="1080"/>
      <c r="S23" s="1080"/>
      <c r="T23" s="1255"/>
      <c r="U23" s="1255"/>
    </row>
    <row r="24" spans="1:21" customHeight="1" ht="21.95" s="9" customFormat="1">
      <c r="A24" s="968"/>
      <c r="C24" s="9" t="s">
        <v>140</v>
      </c>
      <c r="G24" s="886" t="s">
        <v>141</v>
      </c>
      <c r="H24" s="586">
        <v>130000</v>
      </c>
      <c r="I24" s="586">
        <v>0</v>
      </c>
      <c r="J24" s="586">
        <f>K24-I24</f>
        <v>500000</v>
      </c>
      <c r="K24" s="586">
        <v>500000</v>
      </c>
      <c r="L24" s="509">
        <v>300000</v>
      </c>
      <c r="M24" s="1080"/>
      <c r="N24" s="1080"/>
      <c r="O24" s="1080"/>
      <c r="P24" s="1080"/>
      <c r="Q24" s="1080"/>
      <c r="R24" s="1080"/>
      <c r="S24" s="1080"/>
      <c r="T24" s="1255"/>
      <c r="U24" s="1255"/>
    </row>
    <row r="25" spans="1:21" customHeight="1" ht="21.95" s="9" customFormat="1">
      <c r="A25" s="968"/>
      <c r="C25" s="9" t="s">
        <v>203</v>
      </c>
      <c r="G25" s="886" t="s">
        <v>143</v>
      </c>
      <c r="H25" s="588">
        <f>752601.5+397778+4530043.88+706166+363250+1095110+345795+2400000+415000+774800+1238628</f>
        <v>13019172.38</v>
      </c>
      <c r="I25" s="588">
        <f>6000+497000+964463.42+307500+494920+2246753+311024+19200+36700</f>
        <v>4883560.42</v>
      </c>
      <c r="J25" s="588">
        <f>K25-I25</f>
        <v>17293285.03</v>
      </c>
      <c r="K25" s="588">
        <f>200000+300000+100000+150000+100000+100000+800000+200000+500000+6994378.31+5300000+600000+1362467.14+500000+100000+50000+50000+120000+1000000+500000+850000+1250000+50000+1000000</f>
        <v>22176845.45</v>
      </c>
      <c r="L25" s="540">
        <f>300000+3000000+200000+1200250.28+1000000+100000+500000+300000+700000+1500000+2000000+2000000-7000</f>
        <v>12793250.28</v>
      </c>
      <c r="M25" s="1080"/>
      <c r="N25" s="1080"/>
      <c r="O25" s="1080"/>
      <c r="P25" s="1080"/>
      <c r="Q25" s="1080"/>
      <c r="R25" s="1080"/>
      <c r="S25" s="1080"/>
      <c r="T25" s="1255"/>
      <c r="U25" s="1081"/>
    </row>
    <row r="26" spans="1:21" customHeight="1" ht="21.95" s="9" customFormat="1">
      <c r="A26" s="968"/>
      <c r="B26" s="18" t="s">
        <v>767</v>
      </c>
      <c r="C26" s="968"/>
      <c r="D26" s="968"/>
      <c r="E26" s="968"/>
      <c r="F26" s="968"/>
      <c r="G26" s="1259"/>
      <c r="H26" s="1256">
        <f>SUM(H21:H25)</f>
        <v>18832677.53</v>
      </c>
      <c r="I26" s="1256">
        <f>SUM(I21:I25)</f>
        <v>6955097.92</v>
      </c>
      <c r="J26" s="1256">
        <f>SUM(J21:J25)</f>
        <v>22171747.53</v>
      </c>
      <c r="K26" s="1256">
        <f>SUM(K21:K25)</f>
        <v>29126845.45</v>
      </c>
      <c r="L26" s="1260">
        <f>SUM(L21:L25)</f>
        <v>15593250.28</v>
      </c>
      <c r="M26" s="1080"/>
      <c r="N26" s="1080"/>
      <c r="O26" s="1261"/>
      <c r="P26" s="1080"/>
      <c r="Q26" s="1080"/>
      <c r="R26" s="1080"/>
      <c r="S26" s="1080"/>
      <c r="T26" s="1255"/>
      <c r="U26" s="1081"/>
    </row>
    <row r="27" spans="1:21" customHeight="1" ht="21.95" s="9" customFormat="1">
      <c r="A27" s="968"/>
      <c r="G27" s="886"/>
      <c r="H27" s="586"/>
      <c r="I27" s="586"/>
      <c r="J27" s="586"/>
      <c r="K27" s="213"/>
      <c r="L27" s="509"/>
      <c r="M27" s="1080"/>
      <c r="N27" s="1080"/>
      <c r="O27" s="1080"/>
      <c r="P27" s="1080"/>
      <c r="Q27" s="1080"/>
      <c r="R27" s="1080"/>
      <c r="S27" s="1080"/>
      <c r="T27" s="1255"/>
      <c r="U27" s="1081"/>
    </row>
    <row r="28" spans="1:21" customHeight="1" ht="21.95" s="9" customFormat="1">
      <c r="A28" s="968"/>
      <c r="G28" s="886"/>
      <c r="H28" s="586"/>
      <c r="I28" s="586"/>
      <c r="J28" s="586"/>
      <c r="K28" s="213"/>
      <c r="L28" s="509"/>
      <c r="M28" s="1080"/>
      <c r="N28" s="1080"/>
      <c r="O28" s="1080"/>
      <c r="P28" s="1080"/>
      <c r="Q28" s="1080"/>
      <c r="R28" s="1080"/>
      <c r="S28" s="1080"/>
      <c r="T28" s="1255"/>
      <c r="U28" s="1081"/>
    </row>
    <row r="29" spans="1:21" customHeight="1" ht="21.95" s="9" customFormat="1">
      <c r="A29" s="1262"/>
      <c r="B29" s="787"/>
      <c r="C29" s="787"/>
      <c r="D29" s="787"/>
      <c r="E29" s="787"/>
      <c r="F29" s="787"/>
      <c r="G29" s="1263"/>
      <c r="H29" s="1264"/>
      <c r="I29" s="1264"/>
      <c r="J29" s="1264"/>
      <c r="K29" s="1263"/>
      <c r="L29" s="1265"/>
      <c r="M29" s="1080"/>
      <c r="N29" s="1080"/>
      <c r="O29" s="1080"/>
      <c r="P29" s="1080"/>
      <c r="Q29" s="1080"/>
      <c r="R29" s="1080"/>
      <c r="S29" s="1080"/>
      <c r="T29" s="1255"/>
      <c r="U29" s="1081"/>
    </row>
    <row r="30" spans="1:21" customHeight="1" ht="21.95" s="9" customFormat="1">
      <c r="A30" s="968"/>
      <c r="G30" s="320"/>
      <c r="H30" s="511"/>
      <c r="I30" s="511"/>
      <c r="J30" s="511"/>
      <c r="K30" s="320"/>
      <c r="L30" s="509"/>
      <c r="M30" s="1080"/>
      <c r="N30" s="1080"/>
      <c r="O30" s="1080"/>
      <c r="P30" s="1080"/>
      <c r="Q30" s="1080"/>
      <c r="R30" s="1080"/>
      <c r="S30" s="1080"/>
      <c r="T30" s="1255"/>
      <c r="U30" s="1081"/>
    </row>
    <row r="31" spans="1:21" customHeight="1" ht="15" s="9" customFormat="1">
      <c r="A31" s="968"/>
      <c r="B31" s="731" t="s">
        <v>204</v>
      </c>
      <c r="G31" s="886"/>
      <c r="H31" s="586"/>
      <c r="I31" s="586"/>
      <c r="J31" s="586"/>
      <c r="K31" s="213"/>
      <c r="L31" s="509"/>
      <c r="M31" s="1261"/>
      <c r="N31" s="1080"/>
      <c r="O31" s="1080"/>
      <c r="P31" s="1080"/>
      <c r="Q31" s="1080"/>
      <c r="R31" s="1080"/>
      <c r="S31" s="1080"/>
      <c r="T31" s="1255"/>
      <c r="U31" s="1081"/>
    </row>
    <row r="32" spans="1:21" customHeight="1" ht="15" s="9" customFormat="1">
      <c r="A32" s="968"/>
      <c r="B32" s="731"/>
      <c r="C32" s="9" t="s">
        <v>768</v>
      </c>
      <c r="G32" s="886" t="s">
        <v>381</v>
      </c>
      <c r="H32" s="581">
        <f>250000+250000+329845</f>
        <v>829845</v>
      </c>
      <c r="I32" s="581">
        <v>0</v>
      </c>
      <c r="J32" s="581">
        <f>K32-I32</f>
        <v>1200000</v>
      </c>
      <c r="K32" s="581">
        <f>1200000</f>
        <v>1200000</v>
      </c>
      <c r="L32" s="1258">
        <f>1000000+1600000</f>
        <v>2600000</v>
      </c>
      <c r="M32" s="1080"/>
      <c r="N32" s="1080"/>
      <c r="O32" s="1080"/>
      <c r="P32" s="1080"/>
      <c r="Q32" s="1080"/>
      <c r="R32" s="1080"/>
      <c r="S32" s="1080"/>
      <c r="T32" s="1255"/>
      <c r="U32" s="1081"/>
    </row>
    <row r="33" spans="1:21" customHeight="1" ht="15" s="9" customFormat="1">
      <c r="A33" s="968"/>
      <c r="B33" s="731"/>
      <c r="C33" s="9" t="s">
        <v>358</v>
      </c>
      <c r="G33" s="886" t="s">
        <v>359</v>
      </c>
      <c r="H33" s="586">
        <v>0</v>
      </c>
      <c r="I33" s="586">
        <v>0</v>
      </c>
      <c r="J33" s="586">
        <f>K33-I33</f>
        <v>2000000</v>
      </c>
      <c r="K33" s="586">
        <v>2000000</v>
      </c>
      <c r="L33" s="509">
        <v>0</v>
      </c>
      <c r="M33" s="1080"/>
      <c r="N33" s="1080"/>
      <c r="O33" s="1080"/>
      <c r="P33" s="1080"/>
      <c r="Q33" s="1080"/>
      <c r="R33" s="1080"/>
      <c r="S33" s="1080"/>
      <c r="T33" s="1255"/>
      <c r="U33" s="1081"/>
    </row>
    <row r="34" spans="1:21" customHeight="1" ht="15" s="9" customFormat="1">
      <c r="A34" s="968"/>
      <c r="B34" s="731"/>
      <c r="C34" s="9" t="s">
        <v>376</v>
      </c>
      <c r="G34" s="886" t="s">
        <v>377</v>
      </c>
      <c r="H34" s="586">
        <v>0</v>
      </c>
      <c r="I34" s="586">
        <v>0</v>
      </c>
      <c r="J34" s="586">
        <f>K34-I34</f>
        <v>1000000</v>
      </c>
      <c r="K34" s="586">
        <v>1000000</v>
      </c>
      <c r="L34" s="509">
        <v>0</v>
      </c>
      <c r="M34" s="1080"/>
      <c r="N34" s="1080"/>
      <c r="O34" s="1080"/>
      <c r="P34" s="1080"/>
      <c r="Q34" s="1080"/>
      <c r="R34" s="1080"/>
      <c r="S34" s="1080"/>
      <c r="T34" s="1080"/>
      <c r="U34" s="1080"/>
    </row>
    <row r="35" spans="1:21" customHeight="1" ht="15" s="9" customFormat="1">
      <c r="A35" s="968"/>
      <c r="B35" s="731"/>
      <c r="C35" s="9" t="s">
        <v>769</v>
      </c>
      <c r="G35" s="886" t="s">
        <v>770</v>
      </c>
      <c r="H35" s="586">
        <v>0</v>
      </c>
      <c r="I35" s="586">
        <v>498350</v>
      </c>
      <c r="J35" s="586">
        <f>K35-I35</f>
        <v>1101650</v>
      </c>
      <c r="K35" s="586">
        <v>1600000</v>
      </c>
      <c r="L35" s="509">
        <f>1000000+243000</f>
        <v>1243000</v>
      </c>
      <c r="M35" s="1080"/>
      <c r="N35" s="1080"/>
      <c r="O35" s="1080"/>
      <c r="P35" s="1080"/>
      <c r="Q35" s="1080"/>
      <c r="R35" s="1080"/>
      <c r="S35" s="1080"/>
      <c r="T35" s="1255"/>
      <c r="U35" s="1266"/>
    </row>
    <row r="36" spans="1:21" customHeight="1" ht="15" s="9" customFormat="1">
      <c r="A36" s="968"/>
      <c r="B36" s="731"/>
      <c r="C36" s="9" t="s">
        <v>771</v>
      </c>
      <c r="G36" s="886" t="s">
        <v>772</v>
      </c>
      <c r="H36" s="586">
        <v>0</v>
      </c>
      <c r="I36" s="586">
        <v>0</v>
      </c>
      <c r="J36" s="586">
        <v>0</v>
      </c>
      <c r="K36" s="586">
        <v>0</v>
      </c>
      <c r="L36" s="509">
        <v>4000000</v>
      </c>
      <c r="M36" s="1080"/>
      <c r="N36" s="1080"/>
      <c r="O36" s="1080"/>
      <c r="P36" s="1080"/>
      <c r="Q36" s="1080"/>
      <c r="R36" s="1080"/>
      <c r="S36" s="1080"/>
      <c r="T36" s="1255"/>
      <c r="U36" s="1266"/>
    </row>
    <row r="37" spans="1:21" customHeight="1" ht="15" s="9" customFormat="1">
      <c r="A37" s="968"/>
      <c r="B37" s="731"/>
      <c r="C37" s="9" t="s">
        <v>773</v>
      </c>
      <c r="G37" s="886" t="s">
        <v>169</v>
      </c>
      <c r="H37" s="588">
        <v>0</v>
      </c>
      <c r="I37" s="588">
        <v>0</v>
      </c>
      <c r="J37" s="588">
        <f>K37-I37</f>
        <v>11000000</v>
      </c>
      <c r="K37" s="588">
        <f>8000000+3000000</f>
        <v>11000000</v>
      </c>
      <c r="L37" s="540">
        <f>2500000+10000000+4300000</f>
        <v>16800000</v>
      </c>
      <c r="M37" s="1080"/>
      <c r="N37" s="1080"/>
      <c r="O37" s="1080"/>
      <c r="P37" s="1080"/>
      <c r="Q37" s="1080"/>
      <c r="R37" s="1080"/>
      <c r="S37" s="1080"/>
      <c r="T37" s="1255"/>
      <c r="U37" s="1081"/>
    </row>
    <row r="38" spans="1:21" customHeight="1" ht="15" s="9" customFormat="1">
      <c r="A38" s="968"/>
      <c r="B38" s="18" t="s">
        <v>172</v>
      </c>
      <c r="G38" s="886"/>
      <c r="H38" s="1256">
        <f>SUM(H32:H37)</f>
        <v>829845</v>
      </c>
      <c r="I38" s="1256">
        <f>SUM(I32:I37)</f>
        <v>498350</v>
      </c>
      <c r="J38" s="1256">
        <f>SUM(J32:J37)</f>
        <v>16301650</v>
      </c>
      <c r="K38" s="1256">
        <f>SUM(K32:K37)</f>
        <v>16800000</v>
      </c>
      <c r="L38" s="1260">
        <f>SUM(L32:L37)</f>
        <v>24643000</v>
      </c>
      <c r="M38" s="1080"/>
      <c r="N38" s="1080"/>
      <c r="O38" s="1080"/>
      <c r="P38" s="1080"/>
      <c r="Q38" s="1080"/>
      <c r="R38" s="1080"/>
      <c r="S38" s="1080"/>
      <c r="T38" s="1255"/>
      <c r="U38" s="1081"/>
    </row>
    <row r="39" spans="1:21" customHeight="1" ht="15" s="9" customFormat="1">
      <c r="A39" s="968"/>
      <c r="B39" s="731"/>
      <c r="G39" s="886"/>
      <c r="H39" s="586"/>
      <c r="I39" s="586"/>
      <c r="J39" s="586"/>
      <c r="K39" s="586"/>
      <c r="L39" s="509"/>
      <c r="M39" s="1080"/>
      <c r="N39" s="1080"/>
      <c r="O39" s="1080"/>
      <c r="P39" s="1080"/>
      <c r="Q39" s="1080"/>
      <c r="R39" s="1080"/>
      <c r="S39" s="1080"/>
      <c r="T39" s="1255"/>
      <c r="U39" s="1081"/>
    </row>
    <row r="40" spans="1:21" customHeight="1" ht="15" s="9" customFormat="1">
      <c r="A40" s="18" t="s">
        <v>774</v>
      </c>
      <c r="B40" s="18"/>
      <c r="G40" s="886"/>
      <c r="H40" s="1256">
        <f>+H38+H26</f>
        <v>19662522.53</v>
      </c>
      <c r="I40" s="1256">
        <f>+I38+I26</f>
        <v>7453447.92</v>
      </c>
      <c r="J40" s="1256">
        <f>+J38+J26</f>
        <v>38473397.53</v>
      </c>
      <c r="K40" s="1256">
        <f>+K38+K26</f>
        <v>45926845.45</v>
      </c>
      <c r="L40" s="1267">
        <f>+L38+L26</f>
        <v>40236250.28</v>
      </c>
      <c r="M40" s="1080"/>
      <c r="N40" s="1080"/>
      <c r="O40" s="1080"/>
      <c r="P40" s="1080"/>
      <c r="Q40" s="1080"/>
      <c r="R40" s="1080"/>
      <c r="S40" s="1080"/>
      <c r="T40" s="1255"/>
      <c r="U40" s="1081"/>
    </row>
    <row r="41" spans="1:21" customHeight="1" ht="12" s="9" customFormat="1">
      <c r="A41" s="968"/>
      <c r="G41" s="886"/>
      <c r="H41" s="586"/>
      <c r="I41" s="586"/>
      <c r="J41" s="586"/>
      <c r="K41" s="586"/>
      <c r="L41" s="509"/>
      <c r="M41" s="1080"/>
      <c r="N41" s="1080"/>
      <c r="O41" s="1080"/>
      <c r="P41" s="1080"/>
      <c r="Q41" s="1080"/>
      <c r="R41" s="1080"/>
      <c r="S41" s="1080"/>
      <c r="T41" s="1255"/>
      <c r="U41" s="1081"/>
    </row>
    <row r="42" spans="1:21" customHeight="1" ht="15" s="9" customFormat="1">
      <c r="A42" s="18" t="s">
        <v>775</v>
      </c>
      <c r="B42" s="18"/>
      <c r="G42" s="886"/>
      <c r="H42" s="1268">
        <f>+H40+H17</f>
        <v>27746419.65</v>
      </c>
      <c r="I42" s="1268">
        <f>+I40+I17</f>
        <v>7903447.92</v>
      </c>
      <c r="J42" s="1268">
        <f>+J40+J17</f>
        <v>57706331.3</v>
      </c>
      <c r="K42" s="1268">
        <f>+K40+K17</f>
        <v>65609779.22</v>
      </c>
      <c r="L42" s="1269">
        <f>+L40+L17</f>
        <v>57480357.55</v>
      </c>
      <c r="M42" s="1080"/>
      <c r="N42" s="1080"/>
      <c r="O42" s="1080"/>
      <c r="P42" s="1080"/>
      <c r="Q42" s="1080"/>
      <c r="R42" s="1080"/>
      <c r="S42" s="1080"/>
      <c r="T42" s="1255"/>
      <c r="U42" s="1081"/>
    </row>
    <row r="43" spans="1:21" customHeight="1" ht="10.5" s="9" customFormat="1">
      <c r="A43" s="1270"/>
      <c r="B43" s="73"/>
      <c r="C43" s="73"/>
      <c r="D43" s="73"/>
      <c r="E43" s="73"/>
      <c r="F43" s="73"/>
      <c r="G43" s="1271"/>
      <c r="H43" s="741"/>
      <c r="I43" s="741"/>
      <c r="J43" s="741"/>
      <c r="K43" s="741"/>
      <c r="L43" s="1272"/>
      <c r="M43" s="1080"/>
      <c r="N43" s="1080"/>
      <c r="O43" s="1080"/>
      <c r="P43" s="1080"/>
      <c r="Q43" s="1080"/>
      <c r="R43" s="1080"/>
      <c r="S43" s="1080"/>
      <c r="T43" s="1255"/>
      <c r="U43" s="1081"/>
    </row>
    <row r="44" spans="1:21" customHeight="1" ht="13.5" s="273" customFormat="1">
      <c r="A44" s="6"/>
      <c r="B44" s="6"/>
      <c r="G44" s="508"/>
      <c r="H44" s="508"/>
    </row>
    <row r="45" spans="1:21" customHeight="1" ht="18" s="9" customFormat="1">
      <c r="A45" s="9" t="s">
        <v>182</v>
      </c>
      <c r="I45" s="509"/>
      <c r="J45" s="509"/>
      <c r="K45" s="509"/>
      <c r="L45" s="509"/>
    </row>
    <row r="46" spans="1:21" customHeight="1" ht="18" s="9" customFormat="1">
      <c r="G46" s="510"/>
      <c r="H46" s="510"/>
      <c r="I46" s="510"/>
      <c r="J46" s="510"/>
      <c r="K46" s="510"/>
      <c r="L46" s="510"/>
    </row>
    <row r="47" spans="1:21" customHeight="1" ht="18" s="9" customFormat="1">
      <c r="A47" s="1493" t="s">
        <v>183</v>
      </c>
      <c r="B47" s="1493"/>
      <c r="C47" s="1493"/>
      <c r="D47" s="511"/>
      <c r="E47" s="511"/>
      <c r="F47" s="512" t="s">
        <v>184</v>
      </c>
      <c r="G47" s="509"/>
      <c r="H47" s="509"/>
      <c r="I47" s="509"/>
      <c r="J47" s="510" t="s">
        <v>185</v>
      </c>
      <c r="K47" s="1494"/>
      <c r="L47" s="1494"/>
    </row>
    <row r="48" spans="1:21" customHeight="1" ht="18" s="9" customFormat="1"/>
    <row r="49" spans="1:21" customHeight="1" ht="18" s="9" customFormat="1"/>
    <row r="50" spans="1:21" customHeight="1" ht="18" s="11" customFormat="1">
      <c r="A50" s="1489" t="s">
        <v>758</v>
      </c>
      <c r="B50" s="1489"/>
      <c r="C50" s="1489"/>
      <c r="D50" s="1489"/>
      <c r="E50" s="1489"/>
      <c r="F50" s="1489" t="s">
        <v>187</v>
      </c>
      <c r="G50" s="1489"/>
      <c r="H50" s="1489"/>
      <c r="I50" s="1489"/>
      <c r="J50" s="1489" t="s">
        <v>186</v>
      </c>
      <c r="K50" s="1489"/>
      <c r="L50" s="1489"/>
    </row>
    <row r="51" spans="1:21" customHeight="1" ht="12" s="11" customFormat="1">
      <c r="A51" s="1468" t="s">
        <v>189</v>
      </c>
      <c r="B51" s="1468"/>
      <c r="C51" s="1468"/>
      <c r="D51" s="1468"/>
      <c r="E51" s="1468"/>
      <c r="F51" s="1468" t="s">
        <v>189</v>
      </c>
      <c r="G51" s="1468"/>
      <c r="H51" s="1468"/>
      <c r="I51" s="1468"/>
      <c r="J51" s="1468" t="s">
        <v>188</v>
      </c>
      <c r="K51" s="1468"/>
      <c r="L51" s="1468"/>
    </row>
    <row r="52" spans="1:21" customHeight="1" ht="12" s="9" customFormat="1">
      <c r="A52" s="1468" t="s">
        <v>776</v>
      </c>
      <c r="B52" s="1468"/>
      <c r="C52" s="1468"/>
      <c r="D52" s="1468"/>
      <c r="E52" s="1468"/>
      <c r="F52" s="1468" t="s">
        <v>190</v>
      </c>
      <c r="G52" s="1468"/>
      <c r="H52" s="1468"/>
      <c r="I52" s="1468"/>
      <c r="J52" s="1468"/>
      <c r="K52" s="1468"/>
      <c r="L52" s="1468"/>
    </row>
    <row r="53" spans="1:21" customHeight="1" ht="15" s="9" customFormat="1">
      <c r="A53" s="7"/>
      <c r="B53" s="7"/>
      <c r="F53" s="7"/>
      <c r="G53" s="513"/>
      <c r="H53" s="514"/>
      <c r="I53" s="514"/>
      <c r="J53" s="514"/>
      <c r="L53" s="66"/>
      <c r="M53" s="515"/>
      <c r="P53" s="515"/>
      <c r="Q53" s="149"/>
      <c r="S53" s="516"/>
    </row>
    <row r="54" spans="1:21" customHeight="1" ht="15" s="9" customFormat="1">
      <c r="A54" s="968"/>
      <c r="L54" s="1157"/>
      <c r="M54" s="1080"/>
      <c r="N54" s="1080"/>
      <c r="O54" s="1080"/>
      <c r="P54" s="1080"/>
      <c r="Q54" s="1080"/>
      <c r="R54" s="1080"/>
      <c r="S54" s="1080"/>
      <c r="T54" s="1255"/>
      <c r="U54" s="1081"/>
    </row>
    <row r="55" spans="1:21" customHeight="1" ht="5.1" s="9" customFormat="1">
      <c r="L55" s="1157"/>
      <c r="M55" s="1080"/>
      <c r="N55" s="1080"/>
      <c r="O55" s="1080"/>
      <c r="P55" s="1080"/>
      <c r="Q55" s="1080"/>
      <c r="R55" s="1080"/>
      <c r="S55" s="1080"/>
      <c r="T55" s="1255"/>
      <c r="U55" s="1081"/>
    </row>
    <row r="56" spans="1:21" customHeight="1" ht="15" s="9" customFormat="1">
      <c r="H56" s="529"/>
      <c r="I56" s="529"/>
      <c r="J56" s="529"/>
      <c r="K56" s="529"/>
      <c r="L56" s="1162"/>
      <c r="M56" s="1080"/>
      <c r="N56" s="1080"/>
      <c r="O56" s="1080"/>
      <c r="P56" s="1080"/>
      <c r="Q56" s="1080"/>
      <c r="R56" s="1080"/>
      <c r="S56" s="1080"/>
      <c r="T56" s="1255"/>
      <c r="U56" s="1081"/>
    </row>
    <row r="57" spans="1:21" customHeight="1" ht="15" s="9" customFormat="1">
      <c r="H57" s="77"/>
      <c r="I57" s="77"/>
      <c r="J57" s="77"/>
      <c r="K57" s="77"/>
      <c r="L57" s="1157"/>
      <c r="M57" s="1080"/>
      <c r="N57" s="1080"/>
      <c r="O57" s="1080"/>
      <c r="P57" s="1080"/>
      <c r="Q57" s="1080"/>
      <c r="R57" s="1080"/>
      <c r="S57" s="1080"/>
      <c r="T57" s="1255"/>
      <c r="U57" s="1081"/>
    </row>
    <row r="58" spans="1:21" customHeight="1" ht="15" s="9" customFormat="1">
      <c r="L58" s="1157"/>
      <c r="M58" s="1080"/>
      <c r="N58" s="1080"/>
      <c r="O58" s="1080"/>
      <c r="P58" s="1080"/>
      <c r="Q58" s="1080"/>
      <c r="R58" s="1080"/>
      <c r="S58" s="1080"/>
      <c r="T58" s="1255"/>
      <c r="U58" s="1081"/>
    </row>
    <row r="59" spans="1:21" customHeight="1" ht="15" s="9" customFormat="1">
      <c r="L59" s="1157"/>
      <c r="M59" s="1080"/>
      <c r="N59" s="1080"/>
      <c r="O59" s="1080"/>
      <c r="P59" s="1080"/>
      <c r="Q59" s="1080"/>
      <c r="R59" s="1080"/>
      <c r="S59" s="1080"/>
      <c r="T59" s="1255"/>
      <c r="U59" s="1081"/>
    </row>
    <row r="60" spans="1:21" customHeight="1" ht="15" s="9" customFormat="1">
      <c r="L60" s="1157"/>
      <c r="M60" s="1080"/>
      <c r="N60" s="1080"/>
      <c r="O60" s="1080"/>
      <c r="P60" s="1080"/>
      <c r="Q60" s="1080"/>
      <c r="R60" s="1080"/>
      <c r="S60" s="1080"/>
      <c r="T60" s="1255"/>
      <c r="U60" s="1081"/>
    </row>
    <row r="61" spans="1:21" customHeight="1" ht="15" s="9" customFormat="1">
      <c r="L61" s="1157"/>
      <c r="M61" s="1080"/>
      <c r="N61" s="1080"/>
      <c r="O61" s="1080"/>
      <c r="P61" s="1080"/>
      <c r="Q61" s="1080"/>
      <c r="R61" s="1080"/>
      <c r="S61" s="1080"/>
      <c r="T61" s="1255"/>
      <c r="U61" s="1081"/>
    </row>
    <row r="62" spans="1:21" customHeight="1" ht="15" s="9" customFormat="1">
      <c r="L62" s="1157"/>
      <c r="M62" s="1080"/>
      <c r="N62" s="1080"/>
      <c r="O62" s="1080"/>
      <c r="P62" s="1080"/>
      <c r="Q62" s="1080"/>
      <c r="R62" s="1080"/>
      <c r="S62" s="1080"/>
      <c r="T62" s="1255"/>
      <c r="U62" s="1081"/>
    </row>
    <row r="63" spans="1:21" customHeight="1" ht="15" s="9" customFormat="1">
      <c r="L63" s="1157"/>
      <c r="M63" s="1273"/>
      <c r="N63" s="1273"/>
      <c r="O63" s="1273"/>
      <c r="P63" s="1273"/>
      <c r="Q63" s="1273"/>
      <c r="R63" s="1273"/>
      <c r="S63" s="1273"/>
      <c r="T63" s="1273"/>
      <c r="U63" s="1273"/>
    </row>
    <row r="64" spans="1:21" customHeight="1" ht="15" s="9" customFormat="1">
      <c r="M64" s="1080"/>
      <c r="N64" s="1080"/>
      <c r="O64" s="1080"/>
      <c r="P64" s="1080"/>
      <c r="Q64" s="1080"/>
      <c r="R64" s="1080"/>
      <c r="S64" s="1080"/>
      <c r="T64" s="1255"/>
      <c r="U64" s="1081"/>
    </row>
    <row r="65" spans="1:21" customHeight="1" ht="15" s="9" customFormat="1">
      <c r="M65" s="1080"/>
      <c r="N65" s="1080"/>
      <c r="O65" s="1080"/>
      <c r="P65" s="1080"/>
      <c r="Q65" s="1080"/>
      <c r="R65" s="1080"/>
      <c r="S65" s="1080"/>
      <c r="T65" s="1255"/>
      <c r="U65" s="1274"/>
    </row>
    <row r="66" spans="1:21" customHeight="1" ht="15" s="9" customFormat="1">
      <c r="M66" s="1080"/>
      <c r="N66" s="1080"/>
      <c r="O66" s="1080"/>
      <c r="P66" s="1080"/>
      <c r="Q66" s="1080"/>
      <c r="R66" s="1080"/>
      <c r="S66" s="1080"/>
      <c r="T66" s="1255"/>
      <c r="U66" s="1081"/>
    </row>
    <row r="67" spans="1:21" customHeight="1" ht="15" s="9" customFormat="1">
      <c r="M67" s="1080"/>
      <c r="N67" s="1080"/>
      <c r="O67" s="1080"/>
      <c r="P67" s="1080"/>
      <c r="Q67" s="1080"/>
      <c r="R67" s="1080"/>
      <c r="S67" s="1080"/>
      <c r="T67" s="1255"/>
      <c r="U67" s="1081"/>
    </row>
    <row r="68" spans="1:21" customHeight="1" ht="15" s="9" customFormat="1">
      <c r="M68" s="1080"/>
      <c r="N68" s="1080"/>
      <c r="O68" s="1080"/>
      <c r="P68" s="1080"/>
      <c r="Q68" s="1080"/>
      <c r="R68" s="1080"/>
      <c r="S68" s="1080"/>
      <c r="T68" s="1255"/>
      <c r="U68" s="1081"/>
    </row>
    <row r="69" spans="1:21" customHeight="1" ht="15" s="9" customFormat="1">
      <c r="M69" s="1080"/>
      <c r="N69" s="1080"/>
      <c r="O69" s="1080"/>
      <c r="P69" s="1080"/>
      <c r="Q69" s="1080"/>
      <c r="R69" s="1080"/>
      <c r="S69" s="1080"/>
      <c r="T69" s="1255"/>
      <c r="U69" s="1081"/>
    </row>
    <row r="70" spans="1:21" customHeight="1" ht="15" s="9" customFormat="1">
      <c r="M70" s="1080"/>
      <c r="N70" s="1080"/>
      <c r="O70" s="1080"/>
      <c r="P70" s="1080"/>
      <c r="Q70" s="1080"/>
      <c r="R70" s="1080"/>
      <c r="S70" s="1080"/>
      <c r="T70" s="1255"/>
      <c r="U70" s="1081"/>
    </row>
    <row r="71" spans="1:21" customHeight="1" ht="15" s="9" customFormat="1">
      <c r="M71" s="1080"/>
      <c r="N71" s="1080"/>
      <c r="O71" s="1080"/>
      <c r="P71" s="1080"/>
      <c r="Q71" s="1080"/>
      <c r="R71" s="1080"/>
      <c r="S71" s="1080"/>
      <c r="T71" s="1255"/>
      <c r="U71" s="1081"/>
    </row>
    <row r="72" spans="1:21" customHeight="1" ht="15" s="9" customFormat="1">
      <c r="B72" s="9"/>
      <c r="C72" s="9"/>
      <c r="D72" s="9"/>
      <c r="E72" s="9"/>
      <c r="F72" s="9"/>
      <c r="G72" s="11"/>
      <c r="H72" s="9"/>
      <c r="I72" s="9"/>
      <c r="J72" s="9"/>
      <c r="K72" s="9"/>
      <c r="L72" s="9"/>
      <c r="M72" s="1080"/>
      <c r="N72" s="1080"/>
      <c r="O72" s="1080"/>
      <c r="P72" s="1080"/>
      <c r="Q72" s="1080"/>
      <c r="R72" s="1080"/>
      <c r="S72" s="1080"/>
      <c r="T72" s="1255"/>
      <c r="U72" s="1081"/>
    </row>
    <row r="73" spans="1:21" customHeight="1" ht="15" s="9" customFormat="1">
      <c r="A73" s="9"/>
      <c r="B73" s="9"/>
      <c r="C73" s="9"/>
      <c r="D73" s="9"/>
      <c r="E73" s="9"/>
      <c r="F73" s="9"/>
      <c r="G73" s="11"/>
      <c r="H73" s="9"/>
      <c r="I73" s="9"/>
      <c r="J73" s="9"/>
      <c r="K73" s="9"/>
      <c r="L73" s="9"/>
      <c r="M73" s="1080"/>
      <c r="N73" s="1080"/>
      <c r="O73" s="1080"/>
      <c r="P73" s="1080"/>
      <c r="Q73" s="1080"/>
      <c r="R73" s="1080"/>
      <c r="S73" s="1080"/>
      <c r="T73" s="1255"/>
      <c r="U73" s="1081"/>
    </row>
    <row r="75" spans="1:21" customHeight="1" ht="12">
      <c r="C75" s="11"/>
      <c r="D75" s="11"/>
      <c r="E7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F51:I51"/>
    <mergeCell ref="J51:L51"/>
    <mergeCell ref="A52:E52"/>
    <mergeCell ref="F52:I52"/>
    <mergeCell ref="J52:L52"/>
    <mergeCell ref="A15:F15"/>
    <mergeCell ref="A47:C47"/>
    <mergeCell ref="K47:L47"/>
    <mergeCell ref="A50:E50"/>
    <mergeCell ref="F50:I50"/>
    <mergeCell ref="J50:L50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5" right="0.5" top="0.5" bottom="0.5" header="0.3" footer="0.3"/>
  <pageSetup paperSize="14" orientation="landscape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U116"/>
  <sheetViews>
    <sheetView tabSelected="0" workbookViewId="0" view="pageBreakPreview" showGridLines="false" showRowColHeaders="1">
      <selection activeCell="H81" sqref="H81"/>
    </sheetView>
  </sheetViews>
  <sheetFormatPr defaultRowHeight="14.4" outlineLevelRow="0" outlineLevelCol="0"/>
  <cols>
    <col min="1" max="1" width="3.5703125" customWidth="true" style="11"/>
    <col min="2" max="2" width="3.5703125" customWidth="true" style="11"/>
    <col min="3" max="3" width="8.140625" customWidth="true" style="11"/>
    <col min="4" max="4" width="17" customWidth="true" style="11"/>
    <col min="5" max="5" width="12.7109375" customWidth="true" style="11"/>
    <col min="6" max="6" width="11.85546875" customWidth="true" style="11"/>
    <col min="7" max="7" width="10.85546875" customWidth="true" style="11"/>
    <col min="8" max="8" width="15.7109375" customWidth="true" style="11"/>
    <col min="9" max="9" width="15.7109375" customWidth="true" style="11"/>
    <col min="10" max="10" width="15.7109375" customWidth="true" style="11"/>
    <col min="11" max="11" width="15.7109375" customWidth="true" style="11"/>
    <col min="12" max="12" width="15.7109375" customWidth="true" style="598"/>
  </cols>
  <sheetData>
    <row r="1" spans="1:21" customHeight="1" ht="9.95" s="173" customFormat="1">
      <c r="A1" s="173" t="s">
        <v>0</v>
      </c>
      <c r="J1" s="174"/>
      <c r="L1" s="175"/>
    </row>
    <row r="2" spans="1:21" customHeight="1" ht="9.95" s="173" customFormat="1">
      <c r="A2" s="173" t="s">
        <v>1</v>
      </c>
      <c r="J2" s="174"/>
      <c r="L2" s="175"/>
    </row>
    <row r="3" spans="1:21" customHeight="1" ht="9.95" s="173" customFormat="1">
      <c r="A3" s="173" t="s">
        <v>2</v>
      </c>
      <c r="J3" s="174"/>
      <c r="L3" s="175"/>
    </row>
    <row r="4" spans="1:21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21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21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21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21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777</v>
      </c>
    </row>
    <row r="9" spans="1:21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 t="s">
        <v>608</v>
      </c>
    </row>
    <row r="10" spans="1:21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21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21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21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21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21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21" customHeight="1" ht="15.95" s="400" customFormat="1">
      <c r="A16" s="696" t="s">
        <v>24</v>
      </c>
      <c r="B16" s="394"/>
      <c r="C16" s="394"/>
      <c r="D16" s="394"/>
      <c r="E16" s="394"/>
      <c r="F16" s="394"/>
      <c r="G16" s="395"/>
      <c r="H16" s="1079"/>
      <c r="I16" s="1079"/>
      <c r="J16" s="1079"/>
      <c r="K16" s="1079"/>
      <c r="L16" s="160"/>
    </row>
    <row r="17" spans="1:21" customHeight="1" ht="15.95" s="1016" customFormat="1">
      <c r="A17" s="59" t="s">
        <v>25</v>
      </c>
      <c r="B17" s="15"/>
      <c r="C17" s="15"/>
      <c r="D17" s="15"/>
      <c r="E17" s="15"/>
      <c r="F17" s="15"/>
      <c r="G17" s="532"/>
      <c r="H17" s="537"/>
      <c r="I17" s="537"/>
      <c r="J17" s="537"/>
      <c r="K17" s="532"/>
      <c r="L17" s="533"/>
    </row>
    <row r="18" spans="1:21" customHeight="1" ht="15.95" s="9" customFormat="1">
      <c r="B18" s="9" t="s">
        <v>26</v>
      </c>
      <c r="G18" s="213" t="s">
        <v>27</v>
      </c>
      <c r="H18" s="646">
        <v>1562608</v>
      </c>
      <c r="I18" s="646">
        <v>802956</v>
      </c>
      <c r="J18" s="646">
        <f>K18-I18</f>
        <v>1557048</v>
      </c>
      <c r="K18" s="646">
        <v>2360004</v>
      </c>
      <c r="L18" s="648">
        <v>2419308</v>
      </c>
    </row>
    <row r="19" spans="1:21" customHeight="1" ht="15.95" s="9" customFormat="1">
      <c r="B19" s="9" t="s">
        <v>28</v>
      </c>
      <c r="G19" s="213" t="s">
        <v>29</v>
      </c>
      <c r="H19" s="537">
        <v>96000</v>
      </c>
      <c r="I19" s="617">
        <v>48000</v>
      </c>
      <c r="J19" s="617">
        <f>K19-I19</f>
        <v>72000</v>
      </c>
      <c r="K19" s="617">
        <v>120000</v>
      </c>
      <c r="L19" s="533">
        <v>120000</v>
      </c>
    </row>
    <row r="20" spans="1:21" customHeight="1" ht="15.95" s="9" customFormat="1">
      <c r="B20" s="9" t="s">
        <v>30</v>
      </c>
      <c r="G20" s="213" t="s">
        <v>31</v>
      </c>
      <c r="H20" s="537">
        <v>81000</v>
      </c>
      <c r="I20" s="617">
        <v>40500</v>
      </c>
      <c r="J20" s="617">
        <f>K20-I20</f>
        <v>40500</v>
      </c>
      <c r="K20" s="617">
        <v>81000</v>
      </c>
      <c r="L20" s="533">
        <v>81000</v>
      </c>
    </row>
    <row r="21" spans="1:21" customHeight="1" ht="15.95" s="9" customFormat="1">
      <c r="B21" s="9" t="s">
        <v>32</v>
      </c>
      <c r="F21" s="9" t="s">
        <v>609</v>
      </c>
      <c r="G21" s="213" t="s">
        <v>33</v>
      </c>
      <c r="H21" s="537">
        <v>81000</v>
      </c>
      <c r="I21" s="617">
        <v>40500</v>
      </c>
      <c r="J21" s="617">
        <f>K21-I21</f>
        <v>40500</v>
      </c>
      <c r="K21" s="617">
        <v>81000</v>
      </c>
      <c r="L21" s="533">
        <v>81000</v>
      </c>
    </row>
    <row r="22" spans="1:21" customHeight="1" ht="15.95" s="9" customFormat="1">
      <c r="B22" s="9" t="s">
        <v>34</v>
      </c>
      <c r="G22" s="213" t="s">
        <v>35</v>
      </c>
      <c r="H22" s="537">
        <v>24000</v>
      </c>
      <c r="I22" s="617">
        <v>24000</v>
      </c>
      <c r="J22" s="617">
        <f>K22-I22</f>
        <v>6000</v>
      </c>
      <c r="K22" s="617">
        <v>30000</v>
      </c>
      <c r="L22" s="533">
        <v>30000</v>
      </c>
    </row>
    <row r="23" spans="1:21" customHeight="1" ht="15.95" s="9" customFormat="1">
      <c r="B23" s="9" t="s">
        <v>36</v>
      </c>
      <c r="G23" s="213" t="s">
        <v>37</v>
      </c>
      <c r="H23" s="537">
        <v>41798.26</v>
      </c>
      <c r="I23" s="617">
        <v>5821.64</v>
      </c>
      <c r="J23" s="617">
        <f>K23-I23</f>
        <v>44178.36</v>
      </c>
      <c r="K23" s="617">
        <v>50000</v>
      </c>
      <c r="L23" s="533">
        <v>50000</v>
      </c>
    </row>
    <row r="24" spans="1:21" customHeight="1" ht="15.95" s="9" customFormat="1">
      <c r="B24" s="9" t="s">
        <v>38</v>
      </c>
      <c r="G24" s="213" t="s">
        <v>39</v>
      </c>
      <c r="H24" s="537">
        <v>130280</v>
      </c>
      <c r="I24" s="537">
        <v>0</v>
      </c>
      <c r="J24" s="617">
        <f>K24-I24</f>
        <v>196667</v>
      </c>
      <c r="K24" s="537">
        <v>196667</v>
      </c>
      <c r="L24" s="533">
        <v>201609</v>
      </c>
    </row>
    <row r="25" spans="1:21" customHeight="1" ht="15.95" s="9" customFormat="1">
      <c r="B25" s="9" t="s">
        <v>40</v>
      </c>
      <c r="G25" s="213" t="s">
        <v>41</v>
      </c>
      <c r="H25" s="537">
        <v>20000</v>
      </c>
      <c r="I25" s="537">
        <v>0</v>
      </c>
      <c r="J25" s="617">
        <f>K25-I25</f>
        <v>25000</v>
      </c>
      <c r="K25" s="537">
        <v>25000</v>
      </c>
      <c r="L25" s="533">
        <v>25000</v>
      </c>
    </row>
    <row r="26" spans="1:21" customHeight="1" ht="15.95" s="40" customFormat="1">
      <c r="B26" s="33" t="s">
        <v>42</v>
      </c>
      <c r="C26" s="33"/>
      <c r="D26" s="33"/>
      <c r="E26" s="33"/>
      <c r="F26" s="1278"/>
      <c r="G26" s="208" t="s">
        <v>43</v>
      </c>
      <c r="H26" s="1279">
        <v>150186</v>
      </c>
      <c r="I26" s="1279">
        <v>133826</v>
      </c>
      <c r="J26" s="617">
        <f>K26-I26</f>
        <v>87841</v>
      </c>
      <c r="K26" s="452">
        <v>221667</v>
      </c>
      <c r="L26" s="1280">
        <f>SUM(F27:F28)</f>
        <v>226609</v>
      </c>
    </row>
    <row r="27" spans="1:21" customHeight="1" ht="15.95" s="2" customFormat="1">
      <c r="B27" s="34" t="s">
        <v>44</v>
      </c>
      <c r="C27" s="33"/>
      <c r="D27" s="9"/>
      <c r="E27" s="9"/>
      <c r="F27" s="539">
        <f>L24</f>
        <v>201609</v>
      </c>
      <c r="G27" s="213"/>
      <c r="H27" s="1281"/>
      <c r="I27" s="1281"/>
      <c r="J27" s="1281"/>
      <c r="K27" s="1282"/>
      <c r="L27" s="510"/>
    </row>
    <row r="28" spans="1:21" customHeight="1" ht="15.95" s="2" customFormat="1">
      <c r="B28" s="34" t="s">
        <v>45</v>
      </c>
      <c r="C28" s="33"/>
      <c r="D28" s="9"/>
      <c r="E28" s="9"/>
      <c r="F28" s="618">
        <v>25000</v>
      </c>
      <c r="G28" s="213"/>
      <c r="H28" s="1281"/>
      <c r="I28" s="1281"/>
      <c r="J28" s="1281"/>
      <c r="K28" s="1282"/>
      <c r="L28" s="510"/>
    </row>
    <row r="29" spans="1:21" customHeight="1" ht="15.95" s="9" customFormat="1">
      <c r="B29" s="9" t="s">
        <v>46</v>
      </c>
      <c r="G29" s="213" t="s">
        <v>47</v>
      </c>
      <c r="H29" s="537">
        <v>187512.96</v>
      </c>
      <c r="I29" s="537">
        <v>96354.72</v>
      </c>
      <c r="J29" s="617">
        <f>K29-I29</f>
        <v>186845.76</v>
      </c>
      <c r="K29" s="537">
        <v>283200.48</v>
      </c>
      <c r="L29" s="533">
        <v>290316.96</v>
      </c>
    </row>
    <row r="30" spans="1:21" customHeight="1" ht="15.95" s="9" customFormat="1">
      <c r="B30" s="9" t="s">
        <v>48</v>
      </c>
      <c r="G30" s="213" t="s">
        <v>49</v>
      </c>
      <c r="H30" s="537">
        <v>4800</v>
      </c>
      <c r="I30" s="537">
        <v>2400</v>
      </c>
      <c r="J30" s="617">
        <f>K30-I30</f>
        <v>3600</v>
      </c>
      <c r="K30" s="537">
        <v>6000</v>
      </c>
      <c r="L30" s="533">
        <v>6000</v>
      </c>
    </row>
    <row r="31" spans="1:21" customHeight="1" ht="15.95" s="9" customFormat="1">
      <c r="B31" s="9" t="s">
        <v>50</v>
      </c>
      <c r="G31" s="213" t="s">
        <v>51</v>
      </c>
      <c r="H31" s="537">
        <v>18168.68</v>
      </c>
      <c r="I31" s="537">
        <v>9229.2</v>
      </c>
      <c r="J31" s="617">
        <f>K31-I31</f>
        <v>35400.72</v>
      </c>
      <c r="K31" s="537">
        <v>44629.92</v>
      </c>
      <c r="L31" s="533">
        <v>53780.76</v>
      </c>
    </row>
    <row r="32" spans="1:21" customHeight="1" ht="15.95" s="9" customFormat="1">
      <c r="B32" s="9" t="s">
        <v>611</v>
      </c>
      <c r="G32" s="213" t="s">
        <v>53</v>
      </c>
      <c r="H32" s="537">
        <v>4800</v>
      </c>
      <c r="I32" s="537">
        <v>2400</v>
      </c>
      <c r="J32" s="617">
        <f>K32-I32</f>
        <v>3600</v>
      </c>
      <c r="K32" s="537">
        <v>6000</v>
      </c>
      <c r="L32" s="533">
        <v>6000</v>
      </c>
    </row>
    <row r="33" spans="1:21" customHeight="1" ht="15.95" s="9" customFormat="1">
      <c r="B33" s="9" t="s">
        <v>58</v>
      </c>
      <c r="G33" s="213" t="s">
        <v>59</v>
      </c>
      <c r="H33" s="541">
        <v>100000</v>
      </c>
      <c r="I33" s="541">
        <v>0</v>
      </c>
      <c r="J33" s="620">
        <f>K33-I33</f>
        <v>0</v>
      </c>
      <c r="K33" s="541">
        <v>0</v>
      </c>
      <c r="L33" s="557">
        <v>0</v>
      </c>
    </row>
    <row r="34" spans="1:21" customHeight="1" ht="15.95" s="6" customFormat="1">
      <c r="A34" s="6" t="s">
        <v>256</v>
      </c>
      <c r="G34" s="243"/>
      <c r="H34" s="1283">
        <f>SUM(H18:H33)</f>
        <v>2502153.9</v>
      </c>
      <c r="I34" s="1283">
        <f>SUM(I18:I33)</f>
        <v>1205987.56</v>
      </c>
      <c r="J34" s="1283">
        <f>SUM(J18:J33)</f>
        <v>2299180.84</v>
      </c>
      <c r="K34" s="1283">
        <f>SUM(K18:K33)</f>
        <v>3505168.4</v>
      </c>
      <c r="L34" s="1284">
        <f>SUM(L18:L33)</f>
        <v>3590623.72</v>
      </c>
    </row>
    <row r="35" spans="1:21" customHeight="1" ht="15.95" s="6" customFormat="1">
      <c r="A35" s="543"/>
      <c r="B35" s="543"/>
      <c r="C35" s="543"/>
      <c r="D35" s="543"/>
      <c r="E35" s="543"/>
      <c r="F35" s="543"/>
      <c r="G35" s="545"/>
      <c r="H35" s="546"/>
      <c r="I35" s="546"/>
      <c r="J35" s="546"/>
      <c r="K35" s="546"/>
      <c r="L35" s="624"/>
    </row>
    <row r="36" spans="1:21" customHeight="1" ht="18.95" s="9" customFormat="1">
      <c r="A36" s="59" t="s">
        <v>62</v>
      </c>
      <c r="B36" s="15"/>
      <c r="C36" s="15"/>
      <c r="D36" s="15"/>
      <c r="E36" s="15"/>
      <c r="F36" s="15"/>
      <c r="G36" s="213"/>
      <c r="H36" s="586"/>
      <c r="I36" s="586"/>
      <c r="J36" s="586"/>
      <c r="K36" s="532"/>
      <c r="L36" s="533"/>
    </row>
    <row r="37" spans="1:21" customHeight="1" ht="18.95" s="9" customFormat="1">
      <c r="A37" s="9" t="s">
        <v>612</v>
      </c>
      <c r="B37" s="9" t="s">
        <v>613</v>
      </c>
      <c r="G37" s="238" t="s">
        <v>64</v>
      </c>
      <c r="H37" s="646">
        <v>16000</v>
      </c>
      <c r="I37" s="646">
        <v>46183</v>
      </c>
      <c r="J37" s="646">
        <f>K37-I37</f>
        <v>253817</v>
      </c>
      <c r="K37" s="1285">
        <v>300000</v>
      </c>
      <c r="L37" s="1286">
        <v>150000</v>
      </c>
    </row>
    <row r="38" spans="1:21" customHeight="1" ht="18.95" s="9" customFormat="1">
      <c r="B38" s="9" t="s">
        <v>72</v>
      </c>
      <c r="G38" s="238" t="s">
        <v>73</v>
      </c>
      <c r="H38" s="537"/>
      <c r="I38" s="537">
        <v>900</v>
      </c>
      <c r="J38" s="617">
        <f>K38-I38</f>
        <v>149100</v>
      </c>
      <c r="K38" s="537">
        <v>150000</v>
      </c>
      <c r="L38" s="533">
        <v>120000</v>
      </c>
    </row>
    <row r="39" spans="1:21" customHeight="1" ht="18.95" s="9" customFormat="1">
      <c r="A39" s="9" t="s">
        <v>615</v>
      </c>
      <c r="B39" s="9" t="s">
        <v>234</v>
      </c>
      <c r="G39" s="238" t="s">
        <v>77</v>
      </c>
      <c r="H39" s="537">
        <v>34759</v>
      </c>
      <c r="I39" s="537">
        <v>57399</v>
      </c>
      <c r="J39" s="617">
        <f>K39-I39</f>
        <v>192601</v>
      </c>
      <c r="K39" s="537">
        <v>250000</v>
      </c>
      <c r="L39" s="533">
        <v>100000</v>
      </c>
    </row>
    <row r="40" spans="1:21" customHeight="1" ht="18.95" s="9" customFormat="1">
      <c r="A40" s="9" t="s">
        <v>617</v>
      </c>
      <c r="B40" s="9" t="s">
        <v>79</v>
      </c>
      <c r="G40" s="238" t="s">
        <v>80</v>
      </c>
      <c r="H40" s="537">
        <v>284350</v>
      </c>
      <c r="I40" s="537">
        <v>139923</v>
      </c>
      <c r="J40" s="617">
        <f>K40-I40</f>
        <v>260077</v>
      </c>
      <c r="K40" s="537">
        <v>400000</v>
      </c>
      <c r="L40" s="533">
        <v>300000</v>
      </c>
    </row>
    <row r="41" spans="1:21" customHeight="1" ht="18.95" s="9" customFormat="1">
      <c r="B41" s="9" t="s">
        <v>81</v>
      </c>
      <c r="G41" s="213" t="s">
        <v>82</v>
      </c>
      <c r="H41" s="537">
        <v>13199</v>
      </c>
      <c r="I41" s="537">
        <v>0</v>
      </c>
      <c r="J41" s="617">
        <f>K41-I41</f>
        <v>50000</v>
      </c>
      <c r="K41" s="537">
        <v>50000</v>
      </c>
      <c r="L41" s="533">
        <v>30000</v>
      </c>
    </row>
    <row r="42" spans="1:21" customHeight="1" ht="18.95" s="9" customFormat="1">
      <c r="A42" s="9" t="s">
        <v>778</v>
      </c>
      <c r="B42" s="9" t="s">
        <v>779</v>
      </c>
      <c r="G42" s="238" t="s">
        <v>96</v>
      </c>
      <c r="H42" s="537">
        <v>75072.43</v>
      </c>
      <c r="I42" s="537">
        <v>30252.87</v>
      </c>
      <c r="J42" s="617">
        <f>K42-I42</f>
        <v>54747.13</v>
      </c>
      <c r="K42" s="537">
        <v>85000</v>
      </c>
      <c r="L42" s="533">
        <v>70000</v>
      </c>
    </row>
    <row r="43" spans="1:21" customHeight="1" ht="18.95" s="9" customFormat="1">
      <c r="B43" s="9" t="s">
        <v>780</v>
      </c>
      <c r="G43" s="238" t="s">
        <v>424</v>
      </c>
      <c r="H43" s="537">
        <v>5658.63</v>
      </c>
      <c r="I43" s="537">
        <v>0</v>
      </c>
      <c r="J43" s="617">
        <f>K43-I43</f>
        <v>5000</v>
      </c>
      <c r="K43" s="537">
        <v>5000</v>
      </c>
      <c r="L43" s="533">
        <v>5000</v>
      </c>
    </row>
    <row r="44" spans="1:21" customHeight="1" ht="18.95" s="9" customFormat="1">
      <c r="B44" s="9" t="s">
        <v>781</v>
      </c>
      <c r="G44" s="238" t="s">
        <v>100</v>
      </c>
      <c r="H44" s="537">
        <v>12000</v>
      </c>
      <c r="I44" s="537">
        <v>0</v>
      </c>
      <c r="J44" s="617">
        <f>K44-I44</f>
        <v>50000</v>
      </c>
      <c r="K44" s="537">
        <v>50000</v>
      </c>
      <c r="L44" s="533">
        <v>30000</v>
      </c>
    </row>
    <row r="45" spans="1:21" customHeight="1" ht="18.95" s="9" customFormat="1">
      <c r="B45" s="9" t="s">
        <v>782</v>
      </c>
      <c r="D45" s="9"/>
      <c r="E45" s="9"/>
      <c r="F45" s="9"/>
      <c r="G45" s="238" t="s">
        <v>102</v>
      </c>
      <c r="H45" s="537">
        <v>77831.01</v>
      </c>
      <c r="I45" s="537">
        <v>116682.11</v>
      </c>
      <c r="J45" s="617">
        <f>K45-I45</f>
        <v>183317.89</v>
      </c>
      <c r="K45" s="537">
        <v>300000</v>
      </c>
      <c r="L45" s="533">
        <v>150000</v>
      </c>
    </row>
    <row r="46" spans="1:21" customHeight="1" ht="18.95" s="9" customFormat="1">
      <c r="B46" s="9" t="s">
        <v>202</v>
      </c>
      <c r="F46" s="1287"/>
      <c r="G46" s="238" t="s">
        <v>120</v>
      </c>
      <c r="H46" s="537">
        <v>71500</v>
      </c>
      <c r="I46" s="537">
        <v>33279.06</v>
      </c>
      <c r="J46" s="617">
        <f>K46-I46</f>
        <v>66720.94</v>
      </c>
      <c r="K46" s="537">
        <v>100000</v>
      </c>
      <c r="L46" s="533">
        <v>80000</v>
      </c>
    </row>
    <row r="47" spans="1:21" customHeight="1" ht="18.95" s="9" customFormat="1">
      <c r="B47" s="9" t="s">
        <v>129</v>
      </c>
      <c r="F47" s="1287"/>
      <c r="G47" s="238" t="s">
        <v>130</v>
      </c>
      <c r="H47" s="537">
        <v>7840</v>
      </c>
      <c r="I47" s="537">
        <v>0</v>
      </c>
      <c r="J47" s="617">
        <f>K47-I47</f>
        <v>100000</v>
      </c>
      <c r="K47" s="537">
        <v>100000</v>
      </c>
      <c r="L47" s="533">
        <v>80000</v>
      </c>
    </row>
    <row r="48" spans="1:21" customHeight="1" ht="18.95" s="9" customFormat="1">
      <c r="B48" s="9" t="s">
        <v>142</v>
      </c>
      <c r="F48" s="1288"/>
      <c r="G48" s="238" t="s">
        <v>143</v>
      </c>
      <c r="H48" s="537">
        <v>2267794.69</v>
      </c>
      <c r="I48" s="537">
        <v>645266</v>
      </c>
      <c r="J48" s="617">
        <f>K48-I48</f>
        <v>12804734</v>
      </c>
      <c r="K48" s="537">
        <v>13450000</v>
      </c>
      <c r="L48" s="533">
        <v>8000000</v>
      </c>
    </row>
    <row r="49" spans="1:21" customHeight="1" ht="18.95" s="9" customFormat="1">
      <c r="B49" s="671" t="s">
        <v>150</v>
      </c>
      <c r="F49" s="1288"/>
      <c r="G49" s="238" t="s">
        <v>107</v>
      </c>
      <c r="H49" s="537">
        <v>1155365.24</v>
      </c>
      <c r="I49" s="537">
        <v>358802.27</v>
      </c>
      <c r="J49" s="617">
        <f>K49-I49</f>
        <v>641197.73</v>
      </c>
      <c r="K49" s="537">
        <v>1000000</v>
      </c>
      <c r="L49" s="533">
        <v>800000</v>
      </c>
    </row>
    <row r="50" spans="1:21" customHeight="1" ht="18.95" s="9" customFormat="1">
      <c r="B50" s="29" t="s">
        <v>783</v>
      </c>
      <c r="F50" s="1288"/>
      <c r="G50" s="238"/>
      <c r="H50" s="541">
        <v>0</v>
      </c>
      <c r="I50" s="541">
        <v>0</v>
      </c>
      <c r="J50" s="541">
        <v>0</v>
      </c>
      <c r="K50" s="541">
        <v>0</v>
      </c>
      <c r="L50" s="557">
        <v>0</v>
      </c>
    </row>
    <row r="51" spans="1:21" customHeight="1" ht="18.95" s="273" customFormat="1">
      <c r="A51" s="6" t="s">
        <v>160</v>
      </c>
      <c r="B51" s="705"/>
      <c r="C51" s="705"/>
      <c r="D51" s="705"/>
      <c r="E51" s="705"/>
      <c r="F51" s="705"/>
      <c r="G51" s="243"/>
      <c r="H51" s="1289">
        <f>SUM(H37:H50)</f>
        <v>4021370</v>
      </c>
      <c r="I51" s="1289">
        <f>SUM(I37:I50)</f>
        <v>1428687.31</v>
      </c>
      <c r="J51" s="1289">
        <f>SUM(J37:J50)</f>
        <v>14811312.69</v>
      </c>
      <c r="K51" s="1289">
        <f>SUM(K37:K50)</f>
        <v>16240000</v>
      </c>
      <c r="L51" s="1290">
        <f>SUM(L37:L50)</f>
        <v>9915000</v>
      </c>
    </row>
    <row r="52" spans="1:21" customHeight="1" ht="18.95" s="273" customFormat="1">
      <c r="A52" s="543" t="s">
        <v>161</v>
      </c>
      <c r="B52" s="1057"/>
      <c r="C52" s="1057"/>
      <c r="D52" s="1057"/>
      <c r="E52" s="1057"/>
      <c r="F52" s="1057"/>
      <c r="G52" s="545"/>
      <c r="H52" s="1291">
        <f>H51+H34</f>
        <v>6523523.9</v>
      </c>
      <c r="I52" s="1291">
        <f>I51+I34</f>
        <v>2634674.87</v>
      </c>
      <c r="J52" s="1291">
        <f>J51+J34</f>
        <v>17110493.53</v>
      </c>
      <c r="K52" s="1291">
        <f>K51+K34</f>
        <v>19745168.4</v>
      </c>
      <c r="L52" s="1292">
        <f>L51+L34</f>
        <v>13505623.72</v>
      </c>
    </row>
    <row r="53" spans="1:21" customHeight="1" ht="9" s="273" customFormat="1">
      <c r="A53" s="279"/>
      <c r="B53" s="283"/>
      <c r="C53" s="283"/>
      <c r="D53" s="283"/>
      <c r="E53" s="283"/>
      <c r="F53" s="283"/>
      <c r="G53" s="283"/>
      <c r="H53" s="1293"/>
      <c r="I53" s="1293"/>
      <c r="J53" s="1293"/>
      <c r="K53" s="1293"/>
      <c r="L53" s="1293"/>
    </row>
    <row r="54" spans="1:21" customHeight="1" ht="9.95" s="273" customFormat="1">
      <c r="A54" s="6"/>
      <c r="B54" s="705"/>
      <c r="C54" s="705"/>
      <c r="D54" s="705"/>
      <c r="E54" s="705"/>
      <c r="F54" s="705"/>
      <c r="G54" s="243"/>
      <c r="H54" s="676"/>
      <c r="I54" s="676"/>
      <c r="J54" s="676"/>
      <c r="K54" s="676"/>
      <c r="L54" s="677"/>
    </row>
    <row r="55" spans="1:21" customHeight="1" ht="21.95" s="6" customFormat="1">
      <c r="A55" s="59" t="s">
        <v>162</v>
      </c>
      <c r="B55" s="15"/>
      <c r="C55" s="15"/>
      <c r="D55" s="15"/>
      <c r="E55" s="15"/>
      <c r="F55" s="15"/>
      <c r="G55" s="213"/>
      <c r="H55" s="627"/>
      <c r="I55" s="627"/>
      <c r="J55" s="627"/>
      <c r="K55" s="627"/>
      <c r="L55" s="629"/>
    </row>
    <row r="56" spans="1:21" customHeight="1" ht="21.95" s="273" customFormat="1">
      <c r="A56" s="743" t="s">
        <v>582</v>
      </c>
      <c r="B56" s="5" t="s">
        <v>163</v>
      </c>
      <c r="C56" s="14"/>
      <c r="D56" s="27"/>
      <c r="E56" s="27"/>
      <c r="F56" s="27"/>
      <c r="G56" s="213" t="s">
        <v>784</v>
      </c>
      <c r="H56" s="646">
        <v>11695</v>
      </c>
      <c r="I56" s="646">
        <v>39585</v>
      </c>
      <c r="J56" s="646">
        <f>K56-I56</f>
        <v>60415</v>
      </c>
      <c r="K56" s="646">
        <v>100000</v>
      </c>
      <c r="L56" s="648">
        <v>25000</v>
      </c>
    </row>
    <row r="57" spans="1:21" customHeight="1" ht="21.95" s="273" customFormat="1">
      <c r="A57" s="743"/>
      <c r="B57" s="5" t="s">
        <v>785</v>
      </c>
      <c r="C57" s="14"/>
      <c r="D57" s="27"/>
      <c r="E57" s="27"/>
      <c r="F57" s="27"/>
      <c r="G57" s="213" t="s">
        <v>167</v>
      </c>
      <c r="H57" s="616">
        <v>24900</v>
      </c>
      <c r="I57" s="616">
        <v>49800</v>
      </c>
      <c r="J57" s="617">
        <f>K57-I57</f>
        <v>50200</v>
      </c>
      <c r="K57" s="616">
        <v>100000</v>
      </c>
      <c r="L57" s="650">
        <v>25000</v>
      </c>
    </row>
    <row r="58" spans="1:21" customHeight="1" ht="21.95" s="273" customFormat="1">
      <c r="A58" s="743"/>
      <c r="B58" s="5" t="s">
        <v>210</v>
      </c>
      <c r="C58" s="14"/>
      <c r="D58" s="27"/>
      <c r="E58" s="27"/>
      <c r="F58" s="27"/>
      <c r="G58" s="213" t="s">
        <v>171</v>
      </c>
      <c r="H58" s="619">
        <v>16500</v>
      </c>
      <c r="I58" s="619">
        <v>9998</v>
      </c>
      <c r="J58" s="620">
        <f>K58-I58</f>
        <v>40002</v>
      </c>
      <c r="K58" s="619">
        <v>50000</v>
      </c>
      <c r="L58" s="755">
        <v>0</v>
      </c>
    </row>
    <row r="59" spans="1:21" customHeight="1" ht="21.95" s="6" customFormat="1">
      <c r="A59" s="6" t="s">
        <v>172</v>
      </c>
      <c r="B59" s="9"/>
      <c r="C59" s="9"/>
      <c r="D59" s="9"/>
      <c r="E59" s="9"/>
      <c r="F59" s="9"/>
      <c r="G59" s="213"/>
      <c r="H59" s="1283">
        <f>SUM(H56:H58)</f>
        <v>53095</v>
      </c>
      <c r="I59" s="1283">
        <f>SUM(I56:I58)</f>
        <v>99383</v>
      </c>
      <c r="J59" s="1283">
        <f>SUM(J56:J58)</f>
        <v>150617</v>
      </c>
      <c r="K59" s="1283">
        <f>SUM(K56:K58)</f>
        <v>250000</v>
      </c>
      <c r="L59" s="1284">
        <f>SUM(L56:L58)</f>
        <v>50000</v>
      </c>
    </row>
    <row r="60" spans="1:21" customHeight="1" ht="21.95" s="273" customFormat="1">
      <c r="A60" s="743"/>
      <c r="B60" s="5"/>
      <c r="C60" s="14"/>
      <c r="D60" s="27"/>
      <c r="E60" s="27"/>
      <c r="F60" s="27"/>
      <c r="G60" s="213"/>
      <c r="H60" s="784"/>
      <c r="I60" s="784"/>
      <c r="J60" s="784"/>
      <c r="K60" s="784"/>
      <c r="L60" s="557"/>
    </row>
    <row r="61" spans="1:21" customHeight="1" ht="21.95" s="6" customFormat="1">
      <c r="B61" s="9"/>
      <c r="C61" s="9"/>
      <c r="D61" s="9"/>
      <c r="E61" s="9"/>
      <c r="F61" s="9"/>
      <c r="G61" s="213"/>
      <c r="H61" s="627"/>
      <c r="I61" s="627"/>
      <c r="J61" s="627"/>
      <c r="K61" s="627"/>
      <c r="L61" s="629"/>
    </row>
    <row r="62" spans="1:21" customHeight="1" ht="21.95" s="550" customFormat="1">
      <c r="A62" s="6" t="s">
        <v>252</v>
      </c>
      <c r="B62" s="6"/>
      <c r="C62" s="6"/>
      <c r="D62" s="6"/>
      <c r="E62" s="6"/>
      <c r="F62" s="6"/>
      <c r="G62" s="243"/>
      <c r="H62" s="1294">
        <f>H59+H52</f>
        <v>6576618.9</v>
      </c>
      <c r="I62" s="1294">
        <f>I59+I52</f>
        <v>2734057.87</v>
      </c>
      <c r="J62" s="1294">
        <f>J59+J52</f>
        <v>17261110.53</v>
      </c>
      <c r="K62" s="1294">
        <f>K59+K52</f>
        <v>19995168.4</v>
      </c>
      <c r="L62" s="1295">
        <f>L59+L52</f>
        <v>13555623.72</v>
      </c>
    </row>
    <row r="63" spans="1:21" customHeight="1" ht="21.95" s="550" customFormat="1">
      <c r="A63" s="6"/>
      <c r="B63" s="6"/>
      <c r="C63" s="6"/>
      <c r="D63" s="6"/>
      <c r="E63" s="6"/>
      <c r="F63" s="6"/>
      <c r="G63" s="243"/>
      <c r="H63" s="1294"/>
      <c r="I63" s="1294"/>
      <c r="J63" s="1294"/>
      <c r="K63" s="1294"/>
      <c r="L63" s="1296"/>
    </row>
    <row r="64" spans="1:21" customHeight="1" ht="21.95" s="550" customFormat="1">
      <c r="A64" s="6"/>
      <c r="B64" s="6"/>
      <c r="C64" s="6"/>
      <c r="D64" s="6"/>
      <c r="E64" s="6"/>
      <c r="F64" s="6"/>
      <c r="G64" s="243"/>
      <c r="H64" s="1294"/>
      <c r="I64" s="1294"/>
      <c r="J64" s="1294"/>
      <c r="K64" s="1294"/>
      <c r="L64" s="1296"/>
    </row>
    <row r="65" spans="1:21" customHeight="1" ht="21.95" s="9" customFormat="1">
      <c r="A65" s="876"/>
      <c r="B65" s="73"/>
      <c r="C65" s="73"/>
      <c r="D65" s="73"/>
      <c r="E65" s="73"/>
      <c r="F65" s="73"/>
      <c r="G65" s="720"/>
      <c r="H65" s="720"/>
      <c r="I65" s="720"/>
      <c r="J65" s="720"/>
      <c r="K65" s="1297" t="s">
        <v>609</v>
      </c>
      <c r="L65" s="721"/>
    </row>
    <row r="66" spans="1:21" customHeight="1" ht="18" s="273" customFormat="1">
      <c r="A66" s="6"/>
      <c r="B66" s="6"/>
      <c r="G66" s="508"/>
      <c r="H66" s="508"/>
    </row>
    <row r="67" spans="1:21" customHeight="1" ht="18" s="9" customFormat="1">
      <c r="I67" s="509"/>
      <c r="J67" s="509"/>
      <c r="K67" s="509"/>
      <c r="L67" s="509"/>
    </row>
    <row r="68" spans="1:21" customHeight="1" ht="18" s="9" customFormat="1">
      <c r="G68" s="510"/>
      <c r="H68" s="510"/>
      <c r="I68" s="510"/>
      <c r="J68" s="510"/>
      <c r="K68" s="510"/>
      <c r="L68" s="510"/>
    </row>
    <row r="69" spans="1:21" customHeight="1" ht="18" s="9" customFormat="1">
      <c r="A69" s="1493"/>
      <c r="B69" s="1493"/>
      <c r="C69" s="1493"/>
      <c r="D69" s="511"/>
      <c r="E69" s="511"/>
      <c r="F69" s="512"/>
      <c r="G69" s="509"/>
      <c r="H69" s="509"/>
      <c r="I69" s="509"/>
      <c r="J69" s="510"/>
      <c r="K69" s="1494"/>
      <c r="L69" s="1494"/>
    </row>
    <row r="70" spans="1:21" customHeight="1" ht="17.1" s="22" customFormat="1">
      <c r="A70" s="1298" t="s">
        <v>435</v>
      </c>
      <c r="B70" s="21"/>
      <c r="C70" s="21"/>
      <c r="D70" s="21"/>
      <c r="E70" s="21"/>
      <c r="F70" s="21"/>
      <c r="G70" s="319"/>
      <c r="H70" s="319"/>
      <c r="I70" s="319"/>
      <c r="J70" s="319"/>
      <c r="K70" s="319"/>
      <c r="L70" s="193"/>
      <c r="M70" s="522"/>
      <c r="N70" s="522"/>
      <c r="O70" s="522"/>
      <c r="P70" s="522"/>
      <c r="Q70" s="522"/>
      <c r="R70" s="522"/>
      <c r="S70" s="522"/>
      <c r="T70" s="522"/>
      <c r="U70" s="522"/>
    </row>
    <row r="71" spans="1:21" customHeight="1" ht="17.1" s="9" customFormat="1">
      <c r="A71" s="948" t="s">
        <v>786</v>
      </c>
      <c r="B71" s="15"/>
      <c r="C71" s="15"/>
      <c r="D71" s="15"/>
      <c r="E71" s="15"/>
      <c r="F71" s="15"/>
      <c r="G71" s="213"/>
      <c r="H71" s="949"/>
      <c r="I71" s="949"/>
      <c r="J71" s="949"/>
      <c r="K71" s="949"/>
      <c r="L71" s="1071"/>
      <c r="M71" s="529"/>
      <c r="N71" s="529"/>
      <c r="O71" s="529"/>
      <c r="P71" s="529"/>
      <c r="Q71" s="529"/>
      <c r="R71" s="529"/>
      <c r="S71" s="529"/>
      <c r="T71" s="529"/>
      <c r="U71" s="529"/>
    </row>
    <row r="72" spans="1:21" customHeight="1" ht="17.1" s="9" customFormat="1">
      <c r="A72" s="950" t="s">
        <v>213</v>
      </c>
      <c r="B72" s="15"/>
      <c r="C72" s="15"/>
      <c r="D72" s="15"/>
      <c r="E72" s="15"/>
      <c r="F72" s="15"/>
      <c r="G72" s="213"/>
      <c r="H72" s="949"/>
      <c r="I72" s="949"/>
      <c r="J72" s="949"/>
      <c r="K72" s="949"/>
      <c r="L72" s="1071"/>
      <c r="M72" s="529"/>
      <c r="N72" s="529"/>
      <c r="O72" s="529"/>
      <c r="P72" s="529"/>
      <c r="Q72" s="529"/>
      <c r="R72" s="529"/>
      <c r="S72" s="529"/>
      <c r="T72" s="529"/>
      <c r="U72" s="529"/>
    </row>
    <row r="73" spans="1:21" customHeight="1" ht="17.1" s="9" customFormat="1">
      <c r="B73" s="9" t="s">
        <v>142</v>
      </c>
      <c r="C73" s="27"/>
      <c r="D73" s="27"/>
      <c r="E73" s="27"/>
      <c r="F73" s="951"/>
      <c r="G73" s="238" t="s">
        <v>143</v>
      </c>
      <c r="H73" s="954"/>
      <c r="I73" s="954"/>
      <c r="J73" s="954"/>
      <c r="K73" s="954"/>
      <c r="L73" s="1072"/>
      <c r="M73" s="529"/>
      <c r="N73" s="529"/>
      <c r="O73" s="529"/>
      <c r="P73" s="529"/>
      <c r="Q73" s="529"/>
      <c r="R73" s="529"/>
      <c r="S73" s="529"/>
      <c r="T73" s="529"/>
      <c r="U73" s="529"/>
    </row>
    <row r="74" spans="1:21" customHeight="1" ht="17.1" s="9" customFormat="1">
      <c r="B74" s="29" t="s">
        <v>787</v>
      </c>
      <c r="C74" s="27"/>
      <c r="D74" s="27"/>
      <c r="E74" s="27"/>
      <c r="F74" s="1299"/>
      <c r="G74" s="238"/>
      <c r="H74" s="949">
        <v>0</v>
      </c>
      <c r="I74" s="949">
        <v>159075</v>
      </c>
      <c r="J74" s="617">
        <f>K74-I74</f>
        <v>1340925</v>
      </c>
      <c r="K74" s="949">
        <v>1500000</v>
      </c>
      <c r="L74" s="1071">
        <v>0</v>
      </c>
      <c r="M74" s="529"/>
      <c r="N74" s="529"/>
      <c r="O74" s="529"/>
      <c r="P74" s="529"/>
      <c r="Q74" s="529"/>
      <c r="R74" s="529"/>
      <c r="S74" s="529"/>
      <c r="T74" s="529"/>
      <c r="U74" s="529"/>
    </row>
    <row r="75" spans="1:21" customHeight="1" ht="17.1" s="9" customFormat="1">
      <c r="B75" s="1300"/>
      <c r="C75" s="29" t="s">
        <v>788</v>
      </c>
      <c r="D75" s="1300"/>
      <c r="E75" s="1300"/>
      <c r="F75" s="1300"/>
      <c r="G75" s="238"/>
      <c r="H75" s="1202"/>
      <c r="I75" s="1202"/>
      <c r="J75" s="1202"/>
      <c r="K75" s="954"/>
      <c r="L75" s="1072"/>
      <c r="M75" s="529"/>
      <c r="N75" s="529"/>
      <c r="O75" s="529"/>
      <c r="P75" s="529"/>
      <c r="Q75" s="529"/>
      <c r="R75" s="529"/>
      <c r="S75" s="529"/>
      <c r="T75" s="529"/>
      <c r="U75" s="529"/>
    </row>
    <row r="76" spans="1:21" customHeight="1" ht="17.1" s="9" customFormat="1">
      <c r="B76" s="1300"/>
      <c r="C76" s="29" t="s">
        <v>789</v>
      </c>
      <c r="D76" s="1300"/>
      <c r="E76" s="1300"/>
      <c r="F76" s="1300"/>
      <c r="G76" s="238"/>
      <c r="H76" s="1202"/>
      <c r="I76" s="1202"/>
      <c r="J76" s="1202"/>
      <c r="K76" s="954"/>
      <c r="L76" s="1072"/>
      <c r="M76" s="529"/>
      <c r="N76" s="529"/>
      <c r="O76" s="529"/>
      <c r="P76" s="529"/>
      <c r="Q76" s="529"/>
      <c r="R76" s="529"/>
      <c r="S76" s="529"/>
      <c r="T76" s="529"/>
      <c r="U76" s="529"/>
    </row>
    <row r="77" spans="1:21" customHeight="1" ht="17.1" s="9" customFormat="1">
      <c r="B77" s="29" t="s">
        <v>790</v>
      </c>
      <c r="C77" s="29"/>
      <c r="D77" s="1300"/>
      <c r="E77" s="1300"/>
      <c r="F77" s="1300"/>
      <c r="G77" s="238"/>
      <c r="H77" s="1202"/>
      <c r="I77" s="1202"/>
      <c r="J77" s="1202"/>
      <c r="K77" s="954"/>
      <c r="L77" s="1072"/>
      <c r="M77" s="529"/>
      <c r="N77" s="529"/>
      <c r="O77" s="529"/>
      <c r="P77" s="529"/>
      <c r="Q77" s="529"/>
      <c r="R77" s="529"/>
      <c r="S77" s="529"/>
      <c r="T77" s="529"/>
      <c r="U77" s="529"/>
    </row>
    <row r="78" spans="1:21" customHeight="1" ht="17.1" s="9" customFormat="1">
      <c r="B78" s="1300"/>
      <c r="C78" s="29" t="s">
        <v>791</v>
      </c>
      <c r="D78" s="1300"/>
      <c r="E78" s="1300"/>
      <c r="F78" s="1300"/>
      <c r="G78" s="238"/>
      <c r="H78" s="1202">
        <v>0</v>
      </c>
      <c r="I78" s="1202">
        <v>0</v>
      </c>
      <c r="J78" s="1202">
        <v>0</v>
      </c>
      <c r="K78" s="954">
        <v>0</v>
      </c>
      <c r="L78" s="1072">
        <v>500000</v>
      </c>
      <c r="M78" s="529"/>
      <c r="N78" s="529"/>
      <c r="O78" s="529"/>
      <c r="P78" s="529"/>
      <c r="Q78" s="529"/>
      <c r="R78" s="529"/>
      <c r="S78" s="529"/>
      <c r="T78" s="529"/>
      <c r="U78" s="529"/>
    </row>
    <row r="79" spans="1:21" customHeight="1" ht="17.1" s="968" customFormat="1">
      <c r="A79" s="956" t="s">
        <v>792</v>
      </c>
      <c r="B79" s="957"/>
      <c r="C79" s="957"/>
      <c r="D79" s="957"/>
      <c r="E79" s="957"/>
      <c r="F79" s="957"/>
      <c r="G79" s="966"/>
      <c r="H79" s="1199">
        <f>SUM(H74:H78)</f>
        <v>0</v>
      </c>
      <c r="I79" s="1199">
        <f>SUM(I74:I78)</f>
        <v>159075</v>
      </c>
      <c r="J79" s="1199">
        <f>SUM(J74:J78)</f>
        <v>1340925</v>
      </c>
      <c r="K79" s="1199">
        <f>SUM(K74:K78)</f>
        <v>1500000</v>
      </c>
      <c r="L79" s="974">
        <f>SUM(L74:L78)</f>
        <v>500000</v>
      </c>
      <c r="M79" s="967"/>
      <c r="N79" s="967"/>
      <c r="O79" s="967"/>
      <c r="P79" s="967"/>
      <c r="Q79" s="967"/>
      <c r="R79" s="967"/>
      <c r="S79" s="967"/>
      <c r="T79" s="967"/>
      <c r="U79" s="967"/>
    </row>
    <row r="80" spans="1:21" customHeight="1" ht="8.25" s="9" customFormat="1">
      <c r="B80" s="1075"/>
      <c r="C80" s="27"/>
      <c r="D80" s="27"/>
      <c r="E80" s="27"/>
      <c r="F80" s="951"/>
      <c r="G80" s="238"/>
      <c r="H80" s="238"/>
      <c r="I80" s="238"/>
      <c r="J80" s="238"/>
      <c r="K80" s="983"/>
      <c r="L80" s="77"/>
      <c r="M80" s="529"/>
      <c r="N80" s="529"/>
      <c r="O80" s="529"/>
      <c r="P80" s="529"/>
      <c r="Q80" s="529"/>
      <c r="R80" s="529"/>
      <c r="S80" s="529"/>
      <c r="T80" s="529"/>
      <c r="U80" s="529"/>
    </row>
    <row r="81" spans="1:21" customHeight="1" ht="17.1" s="9" customFormat="1">
      <c r="A81" s="948" t="s">
        <v>793</v>
      </c>
      <c r="B81" s="15"/>
      <c r="C81" s="15"/>
      <c r="D81" s="15"/>
      <c r="E81" s="15"/>
      <c r="F81" s="15"/>
      <c r="G81" s="213"/>
      <c r="H81" s="949"/>
      <c r="I81" s="949"/>
      <c r="J81" s="949"/>
      <c r="K81" s="949"/>
      <c r="L81" s="1071"/>
      <c r="M81" s="529"/>
      <c r="N81" s="529"/>
      <c r="O81" s="529"/>
      <c r="P81" s="529"/>
      <c r="Q81" s="529"/>
      <c r="R81" s="529"/>
      <c r="S81" s="529"/>
      <c r="T81" s="529"/>
      <c r="U81" s="529"/>
    </row>
    <row r="82" spans="1:21" customHeight="1" ht="17.1" s="9" customFormat="1">
      <c r="A82" s="950" t="s">
        <v>213</v>
      </c>
      <c r="B82" s="15"/>
      <c r="C82" s="15"/>
      <c r="D82" s="15"/>
      <c r="E82" s="15"/>
      <c r="F82" s="15"/>
      <c r="G82" s="213"/>
      <c r="H82" s="949"/>
      <c r="I82" s="949"/>
      <c r="J82" s="949"/>
      <c r="K82" s="949"/>
      <c r="L82" s="1071"/>
      <c r="M82" s="529"/>
      <c r="N82" s="529"/>
      <c r="O82" s="529"/>
      <c r="P82" s="529"/>
      <c r="Q82" s="529"/>
      <c r="R82" s="529"/>
      <c r="S82" s="529"/>
      <c r="T82" s="529"/>
      <c r="U82" s="529"/>
    </row>
    <row r="83" spans="1:21" customHeight="1" ht="17.1" s="9" customFormat="1">
      <c r="B83" s="9" t="s">
        <v>142</v>
      </c>
      <c r="C83" s="27"/>
      <c r="D83" s="27"/>
      <c r="E83" s="27"/>
      <c r="F83" s="951"/>
      <c r="G83" s="238" t="s">
        <v>143</v>
      </c>
      <c r="H83" s="954"/>
      <c r="I83" s="954"/>
      <c r="J83" s="954"/>
      <c r="K83" s="954"/>
      <c r="L83" s="1072"/>
      <c r="M83" s="529"/>
      <c r="N83" s="529"/>
      <c r="O83" s="529"/>
      <c r="P83" s="529"/>
      <c r="Q83" s="529"/>
      <c r="R83" s="529"/>
      <c r="S83" s="529"/>
      <c r="T83" s="529"/>
      <c r="U83" s="529"/>
    </row>
    <row r="84" spans="1:21" customHeight="1" ht="17.1" s="9" customFormat="1">
      <c r="B84" s="29" t="s">
        <v>794</v>
      </c>
      <c r="C84" s="29"/>
      <c r="D84" s="29"/>
      <c r="E84" s="29"/>
      <c r="F84" s="1301"/>
      <c r="G84" s="238"/>
      <c r="H84" s="1302">
        <v>0</v>
      </c>
      <c r="I84" s="1302">
        <v>0</v>
      </c>
      <c r="J84" s="1303">
        <f>K84-I84</f>
        <v>1000000</v>
      </c>
      <c r="K84" s="1302">
        <v>1000000</v>
      </c>
      <c r="L84" s="1304">
        <v>0</v>
      </c>
      <c r="M84" s="529"/>
      <c r="N84" s="529"/>
      <c r="O84" s="529"/>
      <c r="P84" s="529"/>
      <c r="Q84" s="529"/>
      <c r="R84" s="529"/>
      <c r="S84" s="529"/>
      <c r="T84" s="529"/>
      <c r="U84" s="529"/>
    </row>
    <row r="85" spans="1:21" customHeight="1" ht="17.1" s="9" customFormat="1">
      <c r="B85" s="1300"/>
      <c r="C85" s="29" t="s">
        <v>795</v>
      </c>
      <c r="D85" s="1300"/>
      <c r="E85" s="1300"/>
      <c r="F85" s="1300"/>
      <c r="G85" s="238"/>
      <c r="H85" s="1305"/>
      <c r="I85" s="1305"/>
      <c r="J85" s="1305"/>
      <c r="K85" s="1302"/>
      <c r="L85" s="1304"/>
      <c r="M85" s="529"/>
      <c r="N85" s="529"/>
      <c r="O85" s="529"/>
      <c r="P85" s="529"/>
      <c r="Q85" s="529"/>
      <c r="R85" s="529"/>
      <c r="S85" s="529"/>
      <c r="T85" s="529"/>
      <c r="U85" s="529"/>
    </row>
    <row r="86" spans="1:21" customHeight="1" ht="17.1" s="9" customFormat="1">
      <c r="B86" s="29" t="s">
        <v>796</v>
      </c>
      <c r="C86" s="1300"/>
      <c r="D86" s="1300"/>
      <c r="E86" s="1300"/>
      <c r="F86" s="1300"/>
      <c r="G86" s="238"/>
      <c r="H86" s="1305">
        <v>0</v>
      </c>
      <c r="I86" s="1305"/>
      <c r="J86" s="1305"/>
      <c r="K86" s="1302">
        <v>0</v>
      </c>
      <c r="L86" s="1304">
        <v>300000</v>
      </c>
      <c r="M86" s="529"/>
      <c r="N86" s="529"/>
      <c r="O86" s="529"/>
      <c r="P86" s="529"/>
      <c r="Q86" s="529"/>
      <c r="R86" s="529"/>
      <c r="S86" s="529"/>
      <c r="T86" s="529"/>
      <c r="U86" s="529"/>
    </row>
    <row r="87" spans="1:21" customHeight="1" ht="17.1" s="9" customFormat="1">
      <c r="B87" s="29" t="s">
        <v>797</v>
      </c>
      <c r="C87" s="1300"/>
      <c r="D87" s="1300"/>
      <c r="E87" s="1300"/>
      <c r="F87" s="1300"/>
      <c r="G87" s="238"/>
      <c r="H87" s="1305"/>
      <c r="I87" s="1305"/>
      <c r="J87" s="1305"/>
      <c r="K87" s="1302"/>
      <c r="L87" s="1304"/>
      <c r="M87" s="529"/>
      <c r="N87" s="529"/>
      <c r="O87" s="529"/>
      <c r="P87" s="529"/>
      <c r="Q87" s="529"/>
      <c r="R87" s="529"/>
      <c r="S87" s="529"/>
      <c r="T87" s="529"/>
      <c r="U87" s="529"/>
    </row>
    <row r="88" spans="1:21" customHeight="1" ht="17.1" s="9" customFormat="1">
      <c r="B88" s="1300"/>
      <c r="C88" s="29" t="s">
        <v>798</v>
      </c>
      <c r="D88" s="1300"/>
      <c r="E88" s="1300"/>
      <c r="F88" s="1300"/>
      <c r="G88" s="238"/>
      <c r="H88" s="1306">
        <v>0</v>
      </c>
      <c r="I88" s="1306">
        <v>0</v>
      </c>
      <c r="J88" s="1306">
        <v>0</v>
      </c>
      <c r="K88" s="1307">
        <v>0</v>
      </c>
      <c r="L88" s="1308">
        <v>100000</v>
      </c>
      <c r="M88" s="529"/>
      <c r="N88" s="529"/>
      <c r="O88" s="529"/>
      <c r="P88" s="529"/>
      <c r="Q88" s="529"/>
      <c r="R88" s="529"/>
      <c r="S88" s="529"/>
      <c r="T88" s="529"/>
      <c r="U88" s="529"/>
    </row>
    <row r="89" spans="1:21" customHeight="1" ht="17.1" s="968" customFormat="1">
      <c r="A89" s="913" t="s">
        <v>799</v>
      </c>
      <c r="B89" s="969"/>
      <c r="C89" s="969"/>
      <c r="D89" s="969"/>
      <c r="E89" s="969"/>
      <c r="F89" s="969"/>
      <c r="G89" s="970"/>
      <c r="H89" s="1239">
        <f>SUM(H84:H88)</f>
        <v>0</v>
      </c>
      <c r="I89" s="1239">
        <f>SUM(I84:I88)</f>
        <v>0</v>
      </c>
      <c r="J89" s="1239">
        <f>SUM(J84:J88)</f>
        <v>1000000</v>
      </c>
      <c r="K89" s="1239">
        <f>SUM(K84:K88)</f>
        <v>1000000</v>
      </c>
      <c r="L89" s="1077">
        <f>SUM(L84:L88)</f>
        <v>400000</v>
      </c>
      <c r="M89" s="967"/>
      <c r="N89" s="967"/>
      <c r="O89" s="967"/>
      <c r="P89" s="967"/>
      <c r="Q89" s="967"/>
      <c r="R89" s="967"/>
      <c r="S89" s="967"/>
      <c r="T89" s="967"/>
      <c r="U89" s="967"/>
    </row>
    <row r="90" spans="1:21" customHeight="1" ht="15" s="9" customFormat="1">
      <c r="A90" s="948" t="s">
        <v>800</v>
      </c>
      <c r="B90" s="15"/>
      <c r="C90" s="15"/>
      <c r="D90" s="15"/>
      <c r="E90" s="15"/>
      <c r="F90" s="15"/>
      <c r="G90" s="213"/>
      <c r="H90" s="949"/>
      <c r="I90" s="949"/>
      <c r="J90" s="949"/>
      <c r="K90" s="949"/>
      <c r="L90" s="1071"/>
      <c r="M90" s="529"/>
      <c r="N90" s="529"/>
      <c r="O90" s="529"/>
      <c r="P90" s="529"/>
      <c r="Q90" s="529"/>
      <c r="R90" s="529"/>
      <c r="S90" s="529"/>
      <c r="T90" s="529"/>
      <c r="U90" s="529"/>
    </row>
    <row r="91" spans="1:21" customHeight="1" ht="15" s="9" customFormat="1">
      <c r="A91" s="950" t="s">
        <v>213</v>
      </c>
      <c r="B91" s="15"/>
      <c r="C91" s="15"/>
      <c r="D91" s="15"/>
      <c r="E91" s="15"/>
      <c r="F91" s="15"/>
      <c r="G91" s="213"/>
      <c r="H91" s="949"/>
      <c r="I91" s="949"/>
      <c r="J91" s="949"/>
      <c r="K91" s="949"/>
      <c r="L91" s="1071"/>
      <c r="M91" s="529"/>
      <c r="N91" s="529"/>
      <c r="O91" s="529"/>
      <c r="P91" s="529"/>
      <c r="Q91" s="529"/>
      <c r="R91" s="529"/>
      <c r="S91" s="529"/>
      <c r="T91" s="529"/>
      <c r="U91" s="529"/>
    </row>
    <row r="92" spans="1:21" customHeight="1" ht="15" s="9" customFormat="1">
      <c r="B92" s="9" t="s">
        <v>142</v>
      </c>
      <c r="C92" s="27"/>
      <c r="D92" s="27"/>
      <c r="E92" s="27"/>
      <c r="F92" s="951"/>
      <c r="G92" s="238" t="s">
        <v>143</v>
      </c>
      <c r="H92" s="954"/>
      <c r="I92" s="954"/>
      <c r="J92" s="954"/>
      <c r="K92" s="954"/>
      <c r="L92" s="1072"/>
      <c r="M92" s="529"/>
      <c r="N92" s="529"/>
      <c r="O92" s="529"/>
      <c r="P92" s="529"/>
      <c r="Q92" s="529"/>
      <c r="R92" s="529"/>
      <c r="S92" s="529"/>
      <c r="T92" s="529"/>
      <c r="U92" s="529"/>
    </row>
    <row r="93" spans="1:21" customHeight="1" ht="27.75" s="9" customFormat="1">
      <c r="B93" s="1509" t="s">
        <v>801</v>
      </c>
      <c r="C93" s="1509"/>
      <c r="D93" s="1509"/>
      <c r="E93" s="1509"/>
      <c r="F93" s="1510"/>
      <c r="G93" s="238"/>
      <c r="H93" s="1307">
        <v>0</v>
      </c>
      <c r="I93" s="1307">
        <v>0</v>
      </c>
      <c r="J93" s="1303">
        <f>K93-I93</f>
        <v>2000000</v>
      </c>
      <c r="K93" s="1307">
        <v>2000000</v>
      </c>
      <c r="L93" s="1308">
        <v>0</v>
      </c>
      <c r="M93" s="529"/>
      <c r="N93" s="529"/>
      <c r="O93" s="529"/>
      <c r="P93" s="529"/>
      <c r="Q93" s="529"/>
      <c r="R93" s="529"/>
      <c r="S93" s="529"/>
      <c r="T93" s="529"/>
      <c r="U93" s="529"/>
    </row>
    <row r="94" spans="1:21" customHeight="1" ht="15" s="968" customFormat="1">
      <c r="A94" s="956" t="s">
        <v>802</v>
      </c>
      <c r="B94" s="957"/>
      <c r="C94" s="957"/>
      <c r="D94" s="957"/>
      <c r="E94" s="957"/>
      <c r="F94" s="957"/>
      <c r="G94" s="966"/>
      <c r="H94" s="1199">
        <f>SUM(H93)</f>
        <v>0</v>
      </c>
      <c r="I94" s="1199">
        <f>SUM(I93)</f>
        <v>0</v>
      </c>
      <c r="J94" s="1199">
        <f>SUM(J93)</f>
        <v>2000000</v>
      </c>
      <c r="K94" s="1199">
        <f>SUM(K93)</f>
        <v>2000000</v>
      </c>
      <c r="L94" s="974">
        <f>SUM(L93)</f>
        <v>0</v>
      </c>
      <c r="M94" s="967"/>
      <c r="N94" s="967"/>
      <c r="O94" s="967"/>
      <c r="P94" s="967"/>
      <c r="Q94" s="967"/>
      <c r="R94" s="967"/>
      <c r="S94" s="967"/>
      <c r="T94" s="967"/>
      <c r="U94" s="967"/>
    </row>
    <row r="95" spans="1:21" customHeight="1" ht="7.5" s="9" customFormat="1">
      <c r="B95" s="1075"/>
      <c r="C95" s="27"/>
      <c r="D95" s="27"/>
      <c r="E95" s="27"/>
      <c r="F95" s="951"/>
      <c r="G95" s="238"/>
      <c r="H95" s="238"/>
      <c r="I95" s="238"/>
      <c r="J95" s="238"/>
      <c r="K95" s="983"/>
      <c r="L95" s="77"/>
      <c r="M95" s="529"/>
      <c r="N95" s="529"/>
      <c r="O95" s="529"/>
      <c r="P95" s="529"/>
      <c r="Q95" s="529"/>
      <c r="R95" s="529"/>
      <c r="S95" s="529"/>
      <c r="T95" s="529"/>
      <c r="U95" s="529"/>
    </row>
    <row r="96" spans="1:21" customHeight="1" ht="15" s="9" customFormat="1">
      <c r="A96" s="948" t="s">
        <v>803</v>
      </c>
      <c r="B96" s="15"/>
      <c r="C96" s="15"/>
      <c r="D96" s="15"/>
      <c r="E96" s="15"/>
      <c r="F96" s="15"/>
      <c r="G96" s="213"/>
      <c r="H96" s="949"/>
      <c r="I96" s="949"/>
      <c r="J96" s="949"/>
      <c r="K96" s="949"/>
      <c r="L96" s="1071"/>
      <c r="M96" s="529"/>
      <c r="N96" s="529"/>
      <c r="O96" s="529"/>
      <c r="P96" s="529"/>
      <c r="Q96" s="529"/>
      <c r="R96" s="529"/>
      <c r="S96" s="529"/>
      <c r="T96" s="529"/>
      <c r="U96" s="529"/>
    </row>
    <row r="97" spans="1:21" customHeight="1" ht="15" s="9" customFormat="1">
      <c r="A97" s="950" t="s">
        <v>213</v>
      </c>
      <c r="B97" s="15"/>
      <c r="C97" s="15"/>
      <c r="D97" s="15"/>
      <c r="E97" s="15"/>
      <c r="F97" s="15"/>
      <c r="G97" s="213"/>
      <c r="H97" s="949"/>
      <c r="I97" s="949"/>
      <c r="J97" s="949"/>
      <c r="K97" s="949"/>
      <c r="L97" s="1071"/>
      <c r="M97" s="529"/>
      <c r="N97" s="529"/>
      <c r="O97" s="529"/>
      <c r="P97" s="529"/>
      <c r="Q97" s="529"/>
      <c r="R97" s="529"/>
      <c r="S97" s="529"/>
      <c r="T97" s="529"/>
      <c r="U97" s="529"/>
    </row>
    <row r="98" spans="1:21" customHeight="1" ht="15.95" s="9" customFormat="1">
      <c r="B98" s="9" t="s">
        <v>142</v>
      </c>
      <c r="C98" s="27"/>
      <c r="D98" s="27"/>
      <c r="E98" s="27"/>
      <c r="F98" s="951"/>
      <c r="G98" s="238" t="s">
        <v>143</v>
      </c>
      <c r="H98" s="954"/>
      <c r="I98" s="954"/>
      <c r="J98" s="954"/>
      <c r="K98" s="954"/>
      <c r="L98" s="1072"/>
      <c r="M98" s="529"/>
      <c r="N98" s="529"/>
      <c r="O98" s="529"/>
      <c r="P98" s="529"/>
      <c r="Q98" s="529"/>
      <c r="R98" s="529"/>
      <c r="S98" s="529"/>
      <c r="T98" s="529"/>
      <c r="U98" s="529"/>
    </row>
    <row r="99" spans="1:21" customHeight="1" ht="23.25" s="9" customFormat="1">
      <c r="B99" s="1509" t="s">
        <v>804</v>
      </c>
      <c r="C99" s="1509"/>
      <c r="D99" s="1509"/>
      <c r="E99" s="1509"/>
      <c r="F99" s="1510"/>
      <c r="G99" s="238"/>
      <c r="H99" s="1307">
        <v>0</v>
      </c>
      <c r="I99" s="1307">
        <v>0</v>
      </c>
      <c r="J99" s="1303">
        <f>K99-I99</f>
        <v>1500000</v>
      </c>
      <c r="K99" s="1307">
        <v>1500000</v>
      </c>
      <c r="L99" s="1308">
        <v>0</v>
      </c>
      <c r="M99" s="529"/>
      <c r="N99" s="529"/>
      <c r="O99" s="529"/>
      <c r="P99" s="529"/>
      <c r="Q99" s="529"/>
      <c r="R99" s="529"/>
      <c r="S99" s="529"/>
      <c r="T99" s="529"/>
      <c r="U99" s="529"/>
    </row>
    <row r="100" spans="1:21" customHeight="1" ht="15" s="968" customFormat="1">
      <c r="A100" s="956" t="s">
        <v>805</v>
      </c>
      <c r="B100" s="957"/>
      <c r="C100" s="957"/>
      <c r="D100" s="957"/>
      <c r="E100" s="957"/>
      <c r="F100" s="957"/>
      <c r="G100" s="966"/>
      <c r="H100" s="1199">
        <f>SUM(H99)</f>
        <v>0</v>
      </c>
      <c r="I100" s="1199">
        <f>SUM(I99)</f>
        <v>0</v>
      </c>
      <c r="J100" s="1199">
        <f>SUM(J99)</f>
        <v>1500000</v>
      </c>
      <c r="K100" s="1199">
        <f>SUM(K99)</f>
        <v>1500000</v>
      </c>
      <c r="L100" s="959">
        <f>SUM(L99)</f>
        <v>0</v>
      </c>
      <c r="M100" s="967"/>
      <c r="N100" s="967"/>
      <c r="O100" s="967"/>
      <c r="P100" s="967"/>
      <c r="Q100" s="967"/>
      <c r="R100" s="967"/>
      <c r="S100" s="967"/>
      <c r="T100" s="967"/>
      <c r="U100" s="967"/>
    </row>
    <row r="101" spans="1:21" customHeight="1" ht="15" s="9" customFormat="1">
      <c r="B101" s="1075"/>
      <c r="C101" s="27"/>
      <c r="D101" s="27"/>
      <c r="E101" s="27"/>
      <c r="F101" s="951"/>
      <c r="G101" s="238"/>
      <c r="H101" s="238"/>
      <c r="I101" s="238"/>
      <c r="J101" s="238"/>
      <c r="K101" s="983"/>
      <c r="L101" s="77"/>
      <c r="M101" s="529"/>
      <c r="N101" s="529"/>
      <c r="O101" s="529"/>
      <c r="P101" s="529"/>
      <c r="Q101" s="529"/>
      <c r="R101" s="529"/>
      <c r="S101" s="529"/>
      <c r="T101" s="529"/>
      <c r="U101" s="529"/>
    </row>
    <row r="102" spans="1:21" customHeight="1" ht="15" s="550" customFormat="1">
      <c r="A102" s="18" t="s">
        <v>252</v>
      </c>
      <c r="B102" s="18"/>
      <c r="C102" s="18"/>
      <c r="D102" s="18"/>
      <c r="E102" s="18"/>
      <c r="F102" s="18"/>
      <c r="G102" s="219"/>
      <c r="H102" s="990">
        <f>+H100+H94+H89+H79</f>
        <v>0</v>
      </c>
      <c r="I102" s="990">
        <f>+I100+I94+I89+I79</f>
        <v>159075</v>
      </c>
      <c r="J102" s="990">
        <f>+J100+J94+J89+J79</f>
        <v>5840925</v>
      </c>
      <c r="K102" s="990">
        <f>+K100+K94+K89+K79</f>
        <v>6000000</v>
      </c>
      <c r="L102" s="991">
        <f>+L100+L94+L89+L79</f>
        <v>900000</v>
      </c>
      <c r="M102" s="590"/>
      <c r="N102" s="590"/>
      <c r="O102" s="590"/>
      <c r="P102" s="549"/>
      <c r="Q102" s="549"/>
      <c r="R102" s="549"/>
      <c r="S102" s="549"/>
      <c r="T102" s="549"/>
      <c r="U102" s="549"/>
    </row>
    <row r="103" spans="1:21" customHeight="1" ht="7.5">
      <c r="A103" s="992"/>
      <c r="B103" s="992"/>
      <c r="C103" s="992"/>
      <c r="D103" s="992"/>
      <c r="E103" s="992"/>
      <c r="F103" s="992"/>
      <c r="G103" s="993"/>
      <c r="H103" s="993"/>
      <c r="I103" s="993"/>
      <c r="J103" s="993"/>
      <c r="K103" s="993"/>
      <c r="L103" s="994"/>
      <c r="M103" s="553"/>
      <c r="N103" s="553"/>
      <c r="O103" s="553"/>
      <c r="P103" s="553"/>
      <c r="Q103" s="553"/>
      <c r="R103" s="553"/>
      <c r="S103" s="553"/>
      <c r="T103" s="553"/>
      <c r="U103" s="553"/>
    </row>
    <row r="104" spans="1:21" customHeight="1" ht="18" s="9" customFormat="1">
      <c r="A104" s="9" t="s">
        <v>182</v>
      </c>
      <c r="I104" s="509"/>
      <c r="J104" s="509"/>
      <c r="K104" s="509"/>
      <c r="L104" s="509"/>
    </row>
    <row r="105" spans="1:21" customHeight="1" ht="12.75" s="9" customFormat="1">
      <c r="G105" s="510"/>
      <c r="H105" s="510"/>
      <c r="I105" s="510"/>
      <c r="J105" s="510"/>
      <c r="K105" s="510"/>
      <c r="L105" s="510"/>
    </row>
    <row r="106" spans="1:21" customHeight="1" ht="18" s="9" customFormat="1">
      <c r="A106" s="1493" t="s">
        <v>183</v>
      </c>
      <c r="B106" s="1493"/>
      <c r="C106" s="1493"/>
      <c r="D106" s="511"/>
      <c r="E106" s="511"/>
      <c r="F106" s="512" t="s">
        <v>184</v>
      </c>
      <c r="G106" s="509"/>
      <c r="H106" s="509"/>
      <c r="I106" s="509"/>
      <c r="J106" s="510" t="s">
        <v>185</v>
      </c>
      <c r="K106" s="1494"/>
      <c r="L106" s="1494"/>
    </row>
    <row r="107" spans="1:21" customHeight="1" ht="13.5" s="9" customFormat="1"/>
    <row r="108" spans="1:21" customHeight="1" ht="12" s="9" customFormat="1"/>
    <row r="109" spans="1:21" customHeight="1" ht="18" s="11" customFormat="1">
      <c r="A109" s="1489" t="s">
        <v>806</v>
      </c>
      <c r="B109" s="1489"/>
      <c r="C109" s="1489"/>
      <c r="D109" s="1489"/>
      <c r="E109" s="1489"/>
      <c r="F109" s="1489" t="s">
        <v>187</v>
      </c>
      <c r="G109" s="1489"/>
      <c r="H109" s="1489"/>
      <c r="I109" s="1489"/>
      <c r="J109" s="1489" t="s">
        <v>186</v>
      </c>
      <c r="K109" s="1489"/>
      <c r="L109" s="1489"/>
    </row>
    <row r="110" spans="1:21" customHeight="1" ht="12" s="11" customFormat="1">
      <c r="A110" s="1468" t="s">
        <v>807</v>
      </c>
      <c r="B110" s="1468"/>
      <c r="C110" s="1468"/>
      <c r="D110" s="1468"/>
      <c r="E110" s="1468"/>
      <c r="F110" s="1468" t="s">
        <v>189</v>
      </c>
      <c r="G110" s="1468"/>
      <c r="H110" s="1468"/>
      <c r="I110" s="1468"/>
      <c r="J110" s="1468" t="s">
        <v>188</v>
      </c>
      <c r="K110" s="1468"/>
      <c r="L110" s="1468"/>
    </row>
    <row r="111" spans="1:21" customHeight="1" ht="12" s="9" customFormat="1">
      <c r="A111" s="1468" t="s">
        <v>808</v>
      </c>
      <c r="B111" s="1468"/>
      <c r="C111" s="1468"/>
      <c r="D111" s="1468"/>
      <c r="E111" s="1468"/>
      <c r="F111" s="1468" t="s">
        <v>190</v>
      </c>
      <c r="G111" s="1468"/>
      <c r="H111" s="1468"/>
      <c r="I111" s="1468"/>
      <c r="J111" s="1468"/>
      <c r="K111" s="1468"/>
      <c r="L111" s="1468"/>
    </row>
    <row r="112" spans="1:21" customHeight="1" ht="15"/>
    <row r="113" spans="1:21" customHeight="1" ht="15"/>
    <row r="114" spans="1:21" customHeight="1" ht="15"/>
    <row r="115" spans="1:21" customHeight="1" ht="15">
      <c r="I115" s="386">
        <f>I102+I62</f>
        <v>2893132.87</v>
      </c>
      <c r="J115" s="386">
        <f>J102+J62</f>
        <v>23102035.53</v>
      </c>
      <c r="K115" s="386">
        <f>K102+K62</f>
        <v>25995168.4</v>
      </c>
    </row>
    <row r="116" spans="1:21" customHeight="1" ht="1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6:C106"/>
    <mergeCell ref="K106:L106"/>
    <mergeCell ref="A111:E111"/>
    <mergeCell ref="F111:I111"/>
    <mergeCell ref="J111:L111"/>
    <mergeCell ref="A109:E109"/>
    <mergeCell ref="F109:I109"/>
    <mergeCell ref="J109:L109"/>
    <mergeCell ref="A110:E110"/>
    <mergeCell ref="F110:I110"/>
    <mergeCell ref="J110:L110"/>
    <mergeCell ref="A15:F15"/>
    <mergeCell ref="A69:C69"/>
    <mergeCell ref="K69:L69"/>
    <mergeCell ref="B93:F93"/>
    <mergeCell ref="B99:F99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72"/>
  <sheetViews>
    <sheetView tabSelected="0" workbookViewId="0" view="pageBreakPreview" showGridLines="false" showRowColHeaders="1">
      <selection activeCell="A5" sqref="A5:L5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3" customWidth="true" style="9"/>
    <col min="6" max="6" width="12.7109375" customWidth="true" style="9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11"/>
    <col min="12" max="12" width="16.7109375" customWidth="true" style="598"/>
    <col min="13" max="13" width="17" customWidth="true" style="529"/>
    <col min="14" max="14" width="8.85546875" customWidth="true" style="529"/>
  </cols>
  <sheetData>
    <row r="1" spans="1:18" customHeight="1" ht="9.95" s="173" customFormat="1">
      <c r="A1" s="173" t="s">
        <v>0</v>
      </c>
      <c r="J1" s="174"/>
      <c r="L1" s="175"/>
    </row>
    <row r="2" spans="1:18" customHeight="1" ht="9.95" s="173" customFormat="1">
      <c r="A2" s="173" t="s">
        <v>1</v>
      </c>
      <c r="J2" s="174"/>
      <c r="L2" s="175"/>
    </row>
    <row r="3" spans="1:18" customHeight="1" ht="9.95" s="173" customFormat="1">
      <c r="A3" s="173" t="s">
        <v>2</v>
      </c>
      <c r="J3" s="174"/>
      <c r="L3" s="175"/>
    </row>
    <row r="4" spans="1:18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8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8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8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8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809</v>
      </c>
    </row>
    <row r="9" spans="1:18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 t="s">
        <v>810</v>
      </c>
    </row>
    <row r="10" spans="1:18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8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8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8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8" customHeight="1" ht="16.1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8" customHeight="1" ht="9.75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8" customHeight="1" ht="18" s="531" customFormat="1">
      <c r="A16" s="15" t="s">
        <v>24</v>
      </c>
      <c r="B16" s="15"/>
      <c r="C16" s="15"/>
      <c r="D16" s="15"/>
      <c r="E16" s="15"/>
      <c r="F16" s="15"/>
      <c r="G16" s="526"/>
      <c r="H16" s="586"/>
      <c r="I16" s="586"/>
      <c r="J16" s="586"/>
      <c r="K16" s="527"/>
      <c r="L16" s="592"/>
      <c r="M16" s="529"/>
      <c r="N16" s="529"/>
    </row>
    <row r="17" spans="1:18" customHeight="1" ht="18" s="531" customFormat="1">
      <c r="A17" s="58" t="s">
        <v>25</v>
      </c>
      <c r="B17" s="58"/>
      <c r="C17" s="15"/>
      <c r="D17" s="15"/>
      <c r="E17" s="15"/>
      <c r="F17" s="15"/>
      <c r="G17" s="532"/>
      <c r="H17" s="537"/>
      <c r="I17" s="537"/>
      <c r="J17" s="537"/>
      <c r="K17" s="527"/>
      <c r="L17" s="592"/>
      <c r="M17" s="529"/>
      <c r="N17" s="529"/>
    </row>
    <row r="18" spans="1:18" customHeight="1" ht="18" s="2" customFormat="1">
      <c r="C18" s="9" t="s">
        <v>26</v>
      </c>
      <c r="D18" s="9"/>
      <c r="E18" s="9"/>
      <c r="F18" s="9"/>
      <c r="G18" s="213" t="s">
        <v>27</v>
      </c>
      <c r="H18" s="1309">
        <v>15298.64</v>
      </c>
      <c r="I18" s="1309">
        <v>1166552.54</v>
      </c>
      <c r="J18" s="1309">
        <f>K18-I18</f>
        <v>2817399.46</v>
      </c>
      <c r="K18" s="1310">
        <v>3983952</v>
      </c>
      <c r="L18" s="1311">
        <v>4077804</v>
      </c>
      <c r="M18" s="889"/>
      <c r="N18" s="889"/>
    </row>
    <row r="19" spans="1:18" customHeight="1" ht="18" s="2" customFormat="1">
      <c r="C19" s="9" t="s">
        <v>28</v>
      </c>
      <c r="D19" s="9"/>
      <c r="E19" s="9"/>
      <c r="F19" s="9"/>
      <c r="G19" s="213" t="s">
        <v>29</v>
      </c>
      <c r="H19" s="537">
        <v>77909.09</v>
      </c>
      <c r="I19" s="537">
        <v>72000</v>
      </c>
      <c r="J19" s="537">
        <f>K19-I19</f>
        <v>144000</v>
      </c>
      <c r="K19" s="537">
        <v>216000</v>
      </c>
      <c r="L19" s="533">
        <v>216000</v>
      </c>
      <c r="M19" s="889"/>
      <c r="N19" s="889"/>
    </row>
    <row r="20" spans="1:18" customHeight="1" ht="18" s="2" customFormat="1">
      <c r="C20" s="9" t="s">
        <v>30</v>
      </c>
      <c r="D20" s="9"/>
      <c r="E20" s="9"/>
      <c r="F20" s="9"/>
      <c r="G20" s="213" t="s">
        <v>31</v>
      </c>
      <c r="H20" s="537">
        <v>54000</v>
      </c>
      <c r="I20" s="537">
        <v>40500</v>
      </c>
      <c r="J20" s="537">
        <f>K20-I20</f>
        <v>94500</v>
      </c>
      <c r="K20" s="537">
        <v>135000</v>
      </c>
      <c r="L20" s="533">
        <v>135000</v>
      </c>
      <c r="M20" s="889"/>
      <c r="N20" s="889"/>
    </row>
    <row r="21" spans="1:18" customHeight="1" ht="18" s="2" customFormat="1">
      <c r="C21" s="9" t="s">
        <v>32</v>
      </c>
      <c r="D21" s="9"/>
      <c r="E21" s="9"/>
      <c r="F21" s="9"/>
      <c r="G21" s="213" t="s">
        <v>33</v>
      </c>
      <c r="H21" s="537">
        <v>54000</v>
      </c>
      <c r="I21" s="537">
        <v>40500</v>
      </c>
      <c r="J21" s="537">
        <f>K21-I21</f>
        <v>94500</v>
      </c>
      <c r="K21" s="537">
        <v>135000</v>
      </c>
      <c r="L21" s="533">
        <v>135000</v>
      </c>
      <c r="M21" s="889"/>
      <c r="N21" s="889"/>
    </row>
    <row r="22" spans="1:18" customHeight="1" ht="18" s="2" customFormat="1">
      <c r="C22" s="9" t="s">
        <v>34</v>
      </c>
      <c r="D22" s="9"/>
      <c r="E22" s="9"/>
      <c r="F22" s="9"/>
      <c r="G22" s="213" t="s">
        <v>35</v>
      </c>
      <c r="H22" s="537">
        <v>42000</v>
      </c>
      <c r="I22" s="537">
        <v>42000</v>
      </c>
      <c r="J22" s="537">
        <f>K22-I22</f>
        <v>12000</v>
      </c>
      <c r="K22" s="537">
        <v>54000</v>
      </c>
      <c r="L22" s="533">
        <v>54000</v>
      </c>
      <c r="M22" s="889"/>
      <c r="N22" s="889"/>
    </row>
    <row r="23" spans="1:18" customHeight="1" ht="18" s="2" customFormat="1">
      <c r="C23" s="9" t="s">
        <v>36</v>
      </c>
      <c r="D23" s="9"/>
      <c r="E23" s="9"/>
      <c r="F23" s="9"/>
      <c r="G23" s="213" t="s">
        <v>37</v>
      </c>
      <c r="H23" s="537"/>
      <c r="I23" s="537">
        <v>21480</v>
      </c>
      <c r="J23" s="537">
        <f>K23-I23</f>
        <v>178520</v>
      </c>
      <c r="K23" s="537">
        <v>200000</v>
      </c>
      <c r="L23" s="533">
        <v>200000</v>
      </c>
      <c r="M23" s="889"/>
      <c r="N23" s="889"/>
    </row>
    <row r="24" spans="1:18" customHeight="1" ht="18" s="2" customFormat="1">
      <c r="C24" s="9" t="s">
        <v>38</v>
      </c>
      <c r="D24" s="9"/>
      <c r="E24" s="9"/>
      <c r="F24" s="9"/>
      <c r="G24" s="213" t="s">
        <v>39</v>
      </c>
      <c r="H24" s="537">
        <v>191220</v>
      </c>
      <c r="I24" s="537">
        <v>0</v>
      </c>
      <c r="J24" s="537">
        <f>K24-I24</f>
        <v>331996</v>
      </c>
      <c r="K24" s="537">
        <v>331996</v>
      </c>
      <c r="L24" s="533">
        <v>339817</v>
      </c>
      <c r="M24" s="889"/>
      <c r="N24" s="889"/>
    </row>
    <row r="25" spans="1:18" customHeight="1" ht="18" s="2" customFormat="1">
      <c r="C25" s="9" t="s">
        <v>40</v>
      </c>
      <c r="D25" s="9"/>
      <c r="E25" s="9"/>
      <c r="F25" s="9"/>
      <c r="G25" s="213" t="s">
        <v>41</v>
      </c>
      <c r="H25" s="537">
        <v>22500</v>
      </c>
      <c r="I25" s="537">
        <v>0</v>
      </c>
      <c r="J25" s="537">
        <f>K25-I25</f>
        <v>45000</v>
      </c>
      <c r="K25" s="537">
        <v>45000</v>
      </c>
      <c r="L25" s="533">
        <v>45000</v>
      </c>
      <c r="M25" s="889"/>
      <c r="N25" s="889"/>
      <c r="R25" s="1312"/>
    </row>
    <row r="26" spans="1:18" customHeight="1" ht="18" s="2" customFormat="1">
      <c r="C26" s="9" t="s">
        <v>42</v>
      </c>
      <c r="D26" s="539"/>
      <c r="E26" s="539"/>
      <c r="F26" s="539"/>
      <c r="G26" s="213" t="s">
        <v>43</v>
      </c>
      <c r="H26" s="537"/>
      <c r="I26" s="537">
        <v>241941</v>
      </c>
      <c r="J26" s="537">
        <f>K26-I26</f>
        <v>135055</v>
      </c>
      <c r="K26" s="537">
        <v>376996</v>
      </c>
      <c r="L26" s="533">
        <f>SUM(F27:F28)</f>
        <v>384817</v>
      </c>
      <c r="M26" s="889"/>
      <c r="N26" s="889"/>
    </row>
    <row r="27" spans="1:18" customHeight="1" ht="18" s="2" customFormat="1">
      <c r="C27" s="29" t="s">
        <v>44</v>
      </c>
      <c r="D27" s="539"/>
      <c r="E27" s="539"/>
      <c r="F27" s="539">
        <f>L24</f>
        <v>339817</v>
      </c>
      <c r="G27" s="213"/>
      <c r="H27" s="537"/>
      <c r="I27" s="537"/>
      <c r="J27" s="537"/>
      <c r="K27" s="537"/>
      <c r="L27" s="533"/>
      <c r="M27" s="889"/>
      <c r="N27" s="889"/>
    </row>
    <row r="28" spans="1:18" customHeight="1" ht="18" s="2" customFormat="1">
      <c r="C28" s="29" t="s">
        <v>45</v>
      </c>
      <c r="D28" s="539"/>
      <c r="E28" s="539"/>
      <c r="F28" s="618">
        <f>L25</f>
        <v>45000</v>
      </c>
      <c r="G28" s="213"/>
      <c r="H28" s="537"/>
      <c r="I28" s="537"/>
      <c r="J28" s="537"/>
      <c r="K28" s="537"/>
      <c r="L28" s="533"/>
      <c r="M28" s="889"/>
      <c r="N28" s="889"/>
    </row>
    <row r="29" spans="1:18" customHeight="1" ht="18" s="2" customFormat="1">
      <c r="C29" s="9" t="s">
        <v>46</v>
      </c>
      <c r="D29" s="9"/>
      <c r="E29" s="9"/>
      <c r="F29" s="9"/>
      <c r="G29" s="213" t="s">
        <v>47</v>
      </c>
      <c r="H29" s="537">
        <v>1765.76</v>
      </c>
      <c r="I29" s="537">
        <v>141355.43</v>
      </c>
      <c r="J29" s="537">
        <f>K29-I29</f>
        <v>336718.81</v>
      </c>
      <c r="K29" s="537">
        <v>478074.24</v>
      </c>
      <c r="L29" s="533">
        <v>489336.48</v>
      </c>
      <c r="M29" s="889"/>
      <c r="N29" s="889"/>
    </row>
    <row r="30" spans="1:18" customHeight="1" ht="18" s="2" customFormat="1">
      <c r="C30" s="9" t="s">
        <v>48</v>
      </c>
      <c r="D30" s="9"/>
      <c r="E30" s="9"/>
      <c r="F30" s="9"/>
      <c r="G30" s="213" t="s">
        <v>49</v>
      </c>
      <c r="H30" s="537">
        <v>2900</v>
      </c>
      <c r="I30" s="537">
        <v>3700</v>
      </c>
      <c r="J30" s="537">
        <f>K30-I30</f>
        <v>7100</v>
      </c>
      <c r="K30" s="537">
        <v>10800</v>
      </c>
      <c r="L30" s="533">
        <v>10800</v>
      </c>
      <c r="M30" s="889"/>
      <c r="N30" s="889"/>
    </row>
    <row r="31" spans="1:18" customHeight="1" ht="18" s="2" customFormat="1">
      <c r="C31" s="9" t="s">
        <v>50</v>
      </c>
      <c r="D31" s="9"/>
      <c r="E31" s="9"/>
      <c r="F31" s="9"/>
      <c r="G31" s="213" t="s">
        <v>51</v>
      </c>
      <c r="H31" s="537"/>
      <c r="I31" s="537">
        <v>14730.71</v>
      </c>
      <c r="J31" s="537">
        <f>K31-I31</f>
        <v>62378.17</v>
      </c>
      <c r="K31" s="537">
        <v>77108.88</v>
      </c>
      <c r="L31" s="533">
        <v>91096.92</v>
      </c>
      <c r="M31" s="889"/>
      <c r="N31" s="889"/>
    </row>
    <row r="32" spans="1:18" customHeight="1" ht="18" s="2" customFormat="1">
      <c r="C32" s="9" t="s">
        <v>52</v>
      </c>
      <c r="D32" s="9"/>
      <c r="E32" s="9"/>
      <c r="F32" s="9"/>
      <c r="G32" s="213" t="s">
        <v>53</v>
      </c>
      <c r="H32" s="541">
        <v>4079.45</v>
      </c>
      <c r="I32" s="541">
        <v>3700</v>
      </c>
      <c r="J32" s="541">
        <f>K32-I32</f>
        <v>7100</v>
      </c>
      <c r="K32" s="541">
        <v>10800</v>
      </c>
      <c r="L32" s="557">
        <v>10800</v>
      </c>
      <c r="M32" s="889"/>
      <c r="N32" s="889"/>
    </row>
    <row r="33" spans="1:18" customHeight="1" ht="18" s="550" customFormat="1">
      <c r="A33" s="543" t="s">
        <v>256</v>
      </c>
      <c r="B33" s="543"/>
      <c r="C33" s="543"/>
      <c r="D33" s="543"/>
      <c r="E33" s="543"/>
      <c r="F33" s="543"/>
      <c r="G33" s="545"/>
      <c r="H33" s="1313">
        <f>SUM(H17:H32)</f>
        <v>465672.94</v>
      </c>
      <c r="I33" s="1313">
        <f>SUM(I17:I32)</f>
        <v>1788459.68</v>
      </c>
      <c r="J33" s="1313">
        <f>SUM(J17:J32)</f>
        <v>4266267.44</v>
      </c>
      <c r="K33" s="1313">
        <f>SUM(K17:K32)</f>
        <v>6054727.12</v>
      </c>
      <c r="L33" s="1314">
        <f>SUM(L18:L32)</f>
        <v>6189471.4</v>
      </c>
      <c r="M33" s="1315"/>
      <c r="N33" s="1315"/>
    </row>
    <row r="34" spans="1:18" customHeight="1" ht="20.1" s="550" customFormat="1">
      <c r="A34" s="6"/>
      <c r="B34" s="6"/>
      <c r="C34" s="6"/>
      <c r="D34" s="6"/>
      <c r="E34" s="6"/>
      <c r="F34" s="6"/>
      <c r="G34" s="243"/>
      <c r="H34" s="627"/>
      <c r="I34" s="627"/>
      <c r="J34" s="627"/>
      <c r="K34" s="627"/>
      <c r="L34" s="629"/>
      <c r="M34" s="1315"/>
      <c r="N34" s="1315"/>
    </row>
    <row r="35" spans="1:18" customHeight="1" ht="20.1">
      <c r="A35" s="58" t="s">
        <v>257</v>
      </c>
      <c r="B35" s="58"/>
      <c r="C35" s="15"/>
      <c r="D35" s="15"/>
      <c r="E35" s="15"/>
      <c r="F35" s="15"/>
      <c r="G35" s="532"/>
      <c r="H35" s="537"/>
      <c r="I35" s="537"/>
      <c r="J35" s="537"/>
      <c r="K35" s="551"/>
    </row>
    <row r="36" spans="1:18" customHeight="1" ht="20.1" s="2" customFormat="1">
      <c r="C36" s="9" t="s">
        <v>63</v>
      </c>
      <c r="D36" s="9"/>
      <c r="E36" s="9"/>
      <c r="F36" s="9"/>
      <c r="G36" s="238" t="s">
        <v>64</v>
      </c>
      <c r="H36" s="1309">
        <v>1700</v>
      </c>
      <c r="I36" s="1309">
        <v>0</v>
      </c>
      <c r="J36" s="1309">
        <f>K36-I36</f>
        <v>200000</v>
      </c>
      <c r="K36" s="1309">
        <v>200000</v>
      </c>
      <c r="L36" s="1316">
        <v>100000</v>
      </c>
      <c r="M36" s="889"/>
      <c r="N36" s="889"/>
    </row>
    <row r="37" spans="1:18" customHeight="1" ht="20.1" s="2" customFormat="1">
      <c r="C37" s="9" t="s">
        <v>72</v>
      </c>
      <c r="D37" s="9"/>
      <c r="E37" s="9"/>
      <c r="F37" s="9"/>
      <c r="G37" s="238" t="s">
        <v>73</v>
      </c>
      <c r="H37" s="537">
        <v>15083.39</v>
      </c>
      <c r="I37" s="537">
        <v>10400</v>
      </c>
      <c r="J37" s="537">
        <f>K37-I37</f>
        <v>289600</v>
      </c>
      <c r="K37" s="537">
        <v>300000</v>
      </c>
      <c r="L37" s="538">
        <v>200000</v>
      </c>
      <c r="M37" s="889"/>
      <c r="N37" s="889"/>
    </row>
    <row r="38" spans="1:18" customHeight="1" ht="20.1" s="2" customFormat="1">
      <c r="C38" s="9" t="s">
        <v>234</v>
      </c>
      <c r="D38" s="9"/>
      <c r="E38" s="9"/>
      <c r="F38" s="9"/>
      <c r="G38" s="238" t="s">
        <v>77</v>
      </c>
      <c r="H38" s="537">
        <v>224818</v>
      </c>
      <c r="I38" s="537">
        <v>53234</v>
      </c>
      <c r="J38" s="537">
        <f>K38-I38</f>
        <v>246766</v>
      </c>
      <c r="K38" s="537">
        <v>300000</v>
      </c>
      <c r="L38" s="538">
        <v>200000</v>
      </c>
      <c r="M38" s="889"/>
      <c r="N38" s="889"/>
    </row>
    <row r="39" spans="1:18" customHeight="1" ht="20.1" s="2" customFormat="1">
      <c r="C39" s="9" t="s">
        <v>79</v>
      </c>
      <c r="D39" s="9"/>
      <c r="E39" s="9"/>
      <c r="F39" s="9"/>
      <c r="G39" s="238" t="s">
        <v>80</v>
      </c>
      <c r="H39" s="537"/>
      <c r="I39" s="537">
        <v>47175</v>
      </c>
      <c r="J39" s="537">
        <f>K39-I39</f>
        <v>132825</v>
      </c>
      <c r="K39" s="537">
        <v>180000</v>
      </c>
      <c r="L39" s="538">
        <v>180000</v>
      </c>
      <c r="M39" s="889"/>
      <c r="N39" s="889"/>
    </row>
    <row r="40" spans="1:18" customHeight="1" ht="20.1" s="2" customFormat="1">
      <c r="C40" s="9" t="s">
        <v>261</v>
      </c>
      <c r="D40" s="9"/>
      <c r="E40" s="9"/>
      <c r="F40" s="533"/>
      <c r="G40" s="238" t="s">
        <v>77</v>
      </c>
      <c r="H40" s="537">
        <v>4201.4</v>
      </c>
      <c r="I40" s="537">
        <v>45000</v>
      </c>
      <c r="J40" s="537">
        <f>K40-I40</f>
        <v>55000</v>
      </c>
      <c r="K40" s="537">
        <v>100000</v>
      </c>
      <c r="L40" s="538">
        <v>80000</v>
      </c>
      <c r="M40" s="889"/>
      <c r="N40" s="889"/>
    </row>
    <row r="41" spans="1:18" customHeight="1" ht="20.1" s="2" customFormat="1">
      <c r="C41" s="9" t="s">
        <v>263</v>
      </c>
      <c r="D41" s="9"/>
      <c r="E41" s="9"/>
      <c r="F41" s="533"/>
      <c r="G41" s="238" t="s">
        <v>96</v>
      </c>
      <c r="H41" s="537">
        <v>82164.44</v>
      </c>
      <c r="I41" s="537">
        <v>35421.83</v>
      </c>
      <c r="J41" s="537">
        <f>K41-I41</f>
        <v>84578.17</v>
      </c>
      <c r="K41" s="537">
        <v>120000</v>
      </c>
      <c r="L41" s="538">
        <v>100000</v>
      </c>
      <c r="M41" s="889"/>
      <c r="N41" s="889"/>
    </row>
    <row r="42" spans="1:18" customHeight="1" ht="20.1" s="2" customFormat="1">
      <c r="C42" s="33" t="s">
        <v>264</v>
      </c>
      <c r="D42" s="559"/>
      <c r="E42" s="33"/>
      <c r="F42" s="405"/>
      <c r="G42" s="238" t="s">
        <v>102</v>
      </c>
      <c r="H42" s="537">
        <v>24952</v>
      </c>
      <c r="I42" s="537">
        <v>0</v>
      </c>
      <c r="J42" s="537">
        <f>K42-I42</f>
        <v>100000</v>
      </c>
      <c r="K42" s="560">
        <v>100000</v>
      </c>
      <c r="L42" s="561">
        <v>60000</v>
      </c>
      <c r="M42" s="889"/>
      <c r="N42" s="889"/>
    </row>
    <row r="43" spans="1:18" customHeight="1" ht="20.1" s="2" customFormat="1">
      <c r="A43" s="9"/>
      <c r="B43" s="9"/>
      <c r="C43" s="9" t="s">
        <v>142</v>
      </c>
      <c r="D43" s="9"/>
      <c r="E43" s="9"/>
      <c r="F43" s="9"/>
      <c r="G43" s="238" t="s">
        <v>143</v>
      </c>
      <c r="H43" s="537">
        <v>220882.77</v>
      </c>
      <c r="I43" s="537">
        <v>98935</v>
      </c>
      <c r="J43" s="537">
        <f>K43-I43</f>
        <v>401065</v>
      </c>
      <c r="K43" s="537">
        <v>500000</v>
      </c>
      <c r="L43" s="538">
        <v>350000</v>
      </c>
      <c r="M43" s="889"/>
      <c r="N43" s="889"/>
    </row>
    <row r="44" spans="1:18" customHeight="1" ht="20.1" s="2" customFormat="1">
      <c r="C44" s="5" t="s">
        <v>150</v>
      </c>
      <c r="D44" s="9"/>
      <c r="E44" s="9"/>
      <c r="F44" s="9"/>
      <c r="G44" s="238" t="s">
        <v>107</v>
      </c>
      <c r="H44" s="537">
        <v>797345.86</v>
      </c>
      <c r="I44" s="537">
        <v>260920.95</v>
      </c>
      <c r="J44" s="537">
        <f>K44-I44</f>
        <v>439079.05</v>
      </c>
      <c r="K44" s="537">
        <v>700000</v>
      </c>
      <c r="L44" s="538">
        <v>500000</v>
      </c>
      <c r="O44" s="1317"/>
    </row>
    <row r="45" spans="1:18" customHeight="1" ht="20.1" s="2" customFormat="1">
      <c r="C45" s="29" t="s">
        <v>811</v>
      </c>
      <c r="D45" s="9"/>
      <c r="E45" s="9"/>
      <c r="F45" s="9"/>
      <c r="G45" s="238"/>
      <c r="H45" s="541">
        <v>0</v>
      </c>
      <c r="I45" s="541">
        <v>0</v>
      </c>
      <c r="J45" s="541">
        <v>0</v>
      </c>
      <c r="K45" s="541">
        <v>0</v>
      </c>
      <c r="L45" s="557">
        <v>0</v>
      </c>
    </row>
    <row r="46" spans="1:18" customHeight="1" ht="20.1" s="550" customFormat="1">
      <c r="A46" s="6" t="s">
        <v>160</v>
      </c>
      <c r="B46" s="6"/>
      <c r="C46" s="565"/>
      <c r="D46" s="273"/>
      <c r="E46" s="273"/>
      <c r="F46" s="273"/>
      <c r="G46" s="243"/>
      <c r="H46" s="1318">
        <f>SUM(H36:H45)</f>
        <v>1371147.86</v>
      </c>
      <c r="I46" s="1318">
        <f>SUM(I36:I45)</f>
        <v>551086.78</v>
      </c>
      <c r="J46" s="1318">
        <f>SUM(J36:J45)</f>
        <v>1948913.22</v>
      </c>
      <c r="K46" s="1318">
        <f>SUM(K36:K45)</f>
        <v>2500000</v>
      </c>
      <c r="L46" s="1319">
        <f>SUM(L36:L45)</f>
        <v>1770000</v>
      </c>
      <c r="M46" s="1315"/>
      <c r="N46" s="1315"/>
    </row>
    <row r="47" spans="1:18" customHeight="1" ht="20.1" s="550" customFormat="1">
      <c r="A47" s="6" t="s">
        <v>161</v>
      </c>
      <c r="B47" s="6"/>
      <c r="C47" s="6"/>
      <c r="D47" s="6"/>
      <c r="E47" s="6"/>
      <c r="F47" s="6"/>
      <c r="G47" s="243"/>
      <c r="H47" s="1320">
        <f>+H46+H33</f>
        <v>1836820.8</v>
      </c>
      <c r="I47" s="1320">
        <f>+I46+I33</f>
        <v>2339546.46</v>
      </c>
      <c r="J47" s="1320">
        <f>+J46+J33</f>
        <v>6215180.66</v>
      </c>
      <c r="K47" s="1320">
        <f>+K46+K33</f>
        <v>8554727.12</v>
      </c>
      <c r="L47" s="1321">
        <f>+L46+L33</f>
        <v>7959471.4</v>
      </c>
      <c r="M47" s="1322"/>
      <c r="N47" s="1315"/>
    </row>
    <row r="48" spans="1:18" customHeight="1" ht="20.25" s="550" customFormat="1">
      <c r="A48" s="543"/>
      <c r="B48" s="543"/>
      <c r="C48" s="543"/>
      <c r="D48" s="543"/>
      <c r="E48" s="543"/>
      <c r="F48" s="543"/>
      <c r="G48" s="545"/>
      <c r="H48" s="575"/>
      <c r="I48" s="575"/>
      <c r="J48" s="575"/>
      <c r="K48" s="575"/>
      <c r="L48" s="1323"/>
      <c r="M48" s="1322"/>
      <c r="N48" s="1315"/>
    </row>
    <row r="49" spans="1:18" customHeight="1" ht="20.25" s="550" customFormat="1">
      <c r="A49" s="279"/>
      <c r="B49" s="279"/>
      <c r="C49" s="279"/>
      <c r="D49" s="279"/>
      <c r="E49" s="279"/>
      <c r="F49" s="279"/>
      <c r="G49" s="283"/>
      <c r="H49" s="1324"/>
      <c r="I49" s="1324"/>
      <c r="J49" s="1324"/>
      <c r="K49" s="1324"/>
      <c r="L49" s="1325"/>
      <c r="M49" s="1322"/>
      <c r="N49" s="1315"/>
    </row>
    <row r="50" spans="1:18" customHeight="1" ht="15.95" s="550" customFormat="1">
      <c r="A50" s="58" t="s">
        <v>162</v>
      </c>
      <c r="B50" s="58"/>
      <c r="C50" s="565"/>
      <c r="D50" s="273"/>
      <c r="E50" s="273"/>
      <c r="F50" s="273"/>
      <c r="G50" s="243"/>
      <c r="H50" s="578"/>
      <c r="I50" s="578"/>
      <c r="J50" s="578"/>
      <c r="K50" s="578"/>
      <c r="L50" s="1148"/>
      <c r="M50" s="1315"/>
      <c r="N50" s="1315"/>
    </row>
    <row r="51" spans="1:18" customHeight="1" ht="15.95" s="550" customFormat="1">
      <c r="A51" s="580"/>
      <c r="B51" s="580"/>
      <c r="C51" s="5" t="s">
        <v>163</v>
      </c>
      <c r="D51" s="273"/>
      <c r="E51" s="273"/>
      <c r="F51" s="273"/>
      <c r="G51" s="213" t="s">
        <v>164</v>
      </c>
      <c r="H51" s="1326">
        <v>27418</v>
      </c>
      <c r="I51" s="1326">
        <v>34079</v>
      </c>
      <c r="J51" s="1309">
        <f>K51-I51</f>
        <v>15921</v>
      </c>
      <c r="K51" s="1326">
        <v>50000</v>
      </c>
      <c r="L51" s="1327">
        <v>25000</v>
      </c>
      <c r="M51" s="1315"/>
      <c r="N51" s="1315"/>
    </row>
    <row r="52" spans="1:18" customHeight="1" ht="15.95" s="550" customFormat="1">
      <c r="A52" s="6"/>
      <c r="B52" s="6"/>
      <c r="C52" s="5" t="s">
        <v>166</v>
      </c>
      <c r="D52" s="273"/>
      <c r="E52" s="273"/>
      <c r="F52" s="273"/>
      <c r="G52" s="213" t="s">
        <v>167</v>
      </c>
      <c r="H52" s="586">
        <v>29840</v>
      </c>
      <c r="I52" s="586">
        <v>112840</v>
      </c>
      <c r="J52" s="537">
        <f>K52-I52</f>
        <v>132160</v>
      </c>
      <c r="K52" s="586">
        <v>245000</v>
      </c>
      <c r="L52" s="587">
        <v>25000</v>
      </c>
      <c r="M52" s="1315"/>
      <c r="N52" s="1315"/>
    </row>
    <row r="53" spans="1:18" customHeight="1" ht="15.95" s="550" customFormat="1">
      <c r="A53" s="6"/>
      <c r="B53" s="6"/>
      <c r="C53" s="5" t="s">
        <v>168</v>
      </c>
      <c r="D53" s="273"/>
      <c r="E53" s="273"/>
      <c r="F53" s="273"/>
      <c r="G53" s="213" t="s">
        <v>169</v>
      </c>
      <c r="H53" s="586"/>
      <c r="I53" s="586">
        <v>0</v>
      </c>
      <c r="J53" s="537">
        <f>K53-I53</f>
        <v>1300000</v>
      </c>
      <c r="K53" s="586">
        <v>1300000</v>
      </c>
      <c r="L53" s="587"/>
      <c r="M53" s="1315"/>
      <c r="N53" s="1315"/>
    </row>
    <row r="54" spans="1:18" customHeight="1" ht="15.95" s="550" customFormat="1">
      <c r="A54" s="6"/>
      <c r="B54" s="6"/>
      <c r="C54" s="5" t="s">
        <v>210</v>
      </c>
      <c r="D54" s="273"/>
      <c r="E54" s="273"/>
      <c r="F54" s="273"/>
      <c r="G54" s="213" t="s">
        <v>314</v>
      </c>
      <c r="H54" s="588">
        <v>0</v>
      </c>
      <c r="I54" s="588">
        <v>0</v>
      </c>
      <c r="J54" s="541">
        <f>K54-I54</f>
        <v>40000</v>
      </c>
      <c r="K54" s="588">
        <v>40000</v>
      </c>
      <c r="L54" s="589">
        <v>0</v>
      </c>
      <c r="M54" s="1315"/>
      <c r="N54" s="1315"/>
    </row>
    <row r="55" spans="1:18" customHeight="1" ht="15.95" s="550" customFormat="1">
      <c r="A55" s="6" t="s">
        <v>172</v>
      </c>
      <c r="B55" s="6"/>
      <c r="C55" s="565"/>
      <c r="D55" s="273"/>
      <c r="E55" s="273"/>
      <c r="F55" s="273"/>
      <c r="G55" s="243"/>
      <c r="H55" s="1318">
        <f>SUM(H51:H54)</f>
        <v>57258</v>
      </c>
      <c r="I55" s="1318">
        <f>SUM(I51:I54)</f>
        <v>146919</v>
      </c>
      <c r="J55" s="1318">
        <f>SUM(J51:J54)</f>
        <v>1488081</v>
      </c>
      <c r="K55" s="1318">
        <f>SUM(K51:K54)</f>
        <v>1635000</v>
      </c>
      <c r="L55" s="1319">
        <f>SUM(L51:L54)</f>
        <v>50000</v>
      </c>
      <c r="M55" s="1315"/>
      <c r="N55" s="1315"/>
    </row>
    <row r="56" spans="1:18" customHeight="1" ht="15.95" s="550" customFormat="1">
      <c r="A56" s="6"/>
      <c r="B56" s="6"/>
      <c r="C56" s="565"/>
      <c r="D56" s="273"/>
      <c r="E56" s="273"/>
      <c r="F56" s="273"/>
      <c r="G56" s="243"/>
      <c r="H56" s="567"/>
      <c r="I56" s="567"/>
      <c r="J56" s="567"/>
      <c r="K56" s="567"/>
      <c r="L56" s="756"/>
      <c r="M56" s="1315"/>
      <c r="N56" s="1315"/>
    </row>
    <row r="57" spans="1:18" customHeight="1" ht="15.95" s="550" customFormat="1">
      <c r="A57" s="6"/>
      <c r="B57" s="6"/>
      <c r="C57" s="6"/>
      <c r="D57" s="6"/>
      <c r="E57" s="6"/>
      <c r="F57" s="6"/>
      <c r="G57" s="243"/>
      <c r="H57" s="584"/>
      <c r="I57" s="584"/>
      <c r="J57" s="584"/>
      <c r="K57" s="584"/>
      <c r="L57" s="761"/>
      <c r="M57" s="1322"/>
      <c r="N57" s="1322"/>
    </row>
    <row r="58" spans="1:18" customHeight="1" ht="15.95" s="550" customFormat="1">
      <c r="A58" s="6" t="s">
        <v>252</v>
      </c>
      <c r="B58" s="6"/>
      <c r="C58" s="6"/>
      <c r="D58" s="6"/>
      <c r="E58" s="6"/>
      <c r="F58" s="6"/>
      <c r="G58" s="243"/>
      <c r="H58" s="1320">
        <f>+H55+H47</f>
        <v>1894078.8</v>
      </c>
      <c r="I58" s="1320">
        <f>+I55+I47</f>
        <v>2486465.46</v>
      </c>
      <c r="J58" s="1320">
        <f>+J55+J47</f>
        <v>7703261.66</v>
      </c>
      <c r="K58" s="1320">
        <f>+K55+K47</f>
        <v>10189727.12</v>
      </c>
      <c r="L58" s="1321">
        <f>+L55+L47</f>
        <v>8009471.4</v>
      </c>
      <c r="M58" s="1322"/>
      <c r="N58" s="1322"/>
    </row>
    <row r="59" spans="1:18" customHeight="1" ht="15.95" s="9" customFormat="1">
      <c r="A59" s="73"/>
      <c r="B59" s="73"/>
      <c r="C59" s="73"/>
      <c r="D59" s="73"/>
      <c r="E59" s="73"/>
      <c r="F59" s="73"/>
      <c r="G59" s="720"/>
      <c r="H59" s="720"/>
      <c r="I59" s="720"/>
      <c r="J59" s="720"/>
      <c r="K59" s="720"/>
      <c r="L59" s="721"/>
      <c r="M59" s="529"/>
      <c r="N59" s="529"/>
    </row>
    <row r="60" spans="1:18" customHeight="1" ht="18" s="273" customFormat="1">
      <c r="A60" s="6"/>
      <c r="B60" s="6"/>
      <c r="G60" s="508"/>
      <c r="H60" s="508"/>
    </row>
    <row r="61" spans="1:18" customHeight="1" ht="18" s="9" customFormat="1">
      <c r="A61" s="9" t="s">
        <v>182</v>
      </c>
      <c r="I61" s="509"/>
      <c r="J61" s="509"/>
      <c r="K61" s="509"/>
      <c r="L61" s="509"/>
    </row>
    <row r="62" spans="1:18" customHeight="1" ht="18" s="9" customFormat="1">
      <c r="G62" s="510"/>
      <c r="H62" s="510"/>
      <c r="I62" s="510"/>
      <c r="J62" s="510"/>
      <c r="K62" s="510"/>
      <c r="L62" s="510"/>
    </row>
    <row r="63" spans="1:18" customHeight="1" ht="18" s="9" customFormat="1">
      <c r="A63" s="1493" t="s">
        <v>183</v>
      </c>
      <c r="B63" s="1493"/>
      <c r="C63" s="1493"/>
      <c r="D63" s="511"/>
      <c r="E63" s="511"/>
      <c r="F63" s="512" t="s">
        <v>184</v>
      </c>
      <c r="G63" s="509"/>
      <c r="H63" s="509"/>
      <c r="I63" s="509"/>
      <c r="J63" s="510" t="s">
        <v>185</v>
      </c>
      <c r="K63" s="1494"/>
      <c r="L63" s="1494"/>
    </row>
    <row r="64" spans="1:18" customHeight="1" ht="18" s="9" customFormat="1"/>
    <row r="65" spans="1:18" customHeight="1" ht="18" s="9" customFormat="1"/>
    <row r="66" spans="1:18" customHeight="1" ht="18" s="11" customFormat="1">
      <c r="A66" s="1489" t="s">
        <v>812</v>
      </c>
      <c r="B66" s="1489"/>
      <c r="C66" s="1489"/>
      <c r="D66" s="1489"/>
      <c r="E66" s="1489"/>
      <c r="F66" s="1489" t="s">
        <v>187</v>
      </c>
      <c r="G66" s="1489"/>
      <c r="H66" s="1489"/>
      <c r="I66" s="1489"/>
      <c r="J66" s="1489" t="s">
        <v>186</v>
      </c>
      <c r="K66" s="1489"/>
      <c r="L66" s="1489"/>
    </row>
    <row r="67" spans="1:18" customHeight="1" ht="12" s="11" customFormat="1">
      <c r="A67" s="1468" t="s">
        <v>189</v>
      </c>
      <c r="B67" s="1468"/>
      <c r="C67" s="1468"/>
      <c r="D67" s="1468"/>
      <c r="E67" s="1468"/>
      <c r="F67" s="1468" t="s">
        <v>189</v>
      </c>
      <c r="G67" s="1468"/>
      <c r="H67" s="1468"/>
      <c r="I67" s="1468"/>
      <c r="J67" s="1468" t="s">
        <v>188</v>
      </c>
      <c r="K67" s="1468"/>
      <c r="L67" s="1468"/>
    </row>
    <row r="68" spans="1:18" customHeight="1" ht="12" s="9" customFormat="1">
      <c r="A68" s="1511" t="s">
        <v>813</v>
      </c>
      <c r="B68" s="1511"/>
      <c r="C68" s="1511"/>
      <c r="D68" s="1511"/>
      <c r="E68" s="1511"/>
      <c r="F68" s="1468" t="s">
        <v>190</v>
      </c>
      <c r="G68" s="1468"/>
      <c r="H68" s="1468"/>
      <c r="I68" s="1468"/>
      <c r="J68" s="1468"/>
      <c r="K68" s="1468"/>
      <c r="L68" s="1468"/>
    </row>
    <row r="69" spans="1:18" customHeight="1" ht="12.95" s="9" customFormat="1">
      <c r="A69" s="1511"/>
      <c r="B69" s="1511"/>
      <c r="C69" s="1511"/>
      <c r="D69" s="1511"/>
      <c r="E69" s="1511"/>
      <c r="G69" s="591"/>
      <c r="H69" s="591"/>
      <c r="I69" s="591"/>
      <c r="J69" s="591"/>
      <c r="K69" s="591"/>
      <c r="L69" s="591"/>
      <c r="M69" s="533"/>
      <c r="N69" s="533"/>
    </row>
    <row r="70" spans="1:18" customHeight="1" ht="13.9" s="1328" customFormat="1">
      <c r="A70" s="1489"/>
      <c r="B70" s="1489"/>
      <c r="C70" s="1489"/>
      <c r="D70" s="1489"/>
      <c r="G70" s="1498"/>
      <c r="H70" s="1498"/>
      <c r="I70" s="1498"/>
      <c r="J70" s="695"/>
      <c r="K70" s="1498"/>
      <c r="L70" s="1498"/>
      <c r="M70" s="511"/>
      <c r="N70" s="511"/>
    </row>
    <row r="71" spans="1:18" customHeight="1" ht="12" s="601" customFormat="1">
      <c r="A71" s="1496"/>
      <c r="B71" s="1496"/>
      <c r="C71" s="1496"/>
      <c r="D71" s="1496"/>
      <c r="G71" s="1495"/>
      <c r="H71" s="1495"/>
      <c r="I71" s="1495"/>
      <c r="J71" s="600"/>
      <c r="K71" s="1495"/>
      <c r="L71" s="1495"/>
      <c r="M71" s="604"/>
      <c r="N71" s="604"/>
    </row>
    <row r="72" spans="1:18" customHeight="1" ht="12" s="601" customFormat="1">
      <c r="A72" s="1495"/>
      <c r="B72" s="1495"/>
      <c r="C72" s="1495"/>
      <c r="D72" s="1495"/>
      <c r="G72" s="1495"/>
      <c r="H72" s="1495"/>
      <c r="I72" s="1495"/>
      <c r="J72" s="600"/>
      <c r="K72" s="600"/>
      <c r="L72" s="603"/>
      <c r="M72" s="604"/>
      <c r="N72" s="60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2:D72"/>
    <mergeCell ref="G72:I72"/>
    <mergeCell ref="A70:D70"/>
    <mergeCell ref="G70:I70"/>
    <mergeCell ref="K70:L70"/>
    <mergeCell ref="A71:D71"/>
    <mergeCell ref="G71:I71"/>
    <mergeCell ref="K71:L71"/>
    <mergeCell ref="A67:E67"/>
    <mergeCell ref="F67:I67"/>
    <mergeCell ref="J67:L67"/>
    <mergeCell ref="A68:E69"/>
    <mergeCell ref="F68:I68"/>
    <mergeCell ref="J68:L68"/>
    <mergeCell ref="A15:F15"/>
    <mergeCell ref="A63:C63"/>
    <mergeCell ref="K63:L63"/>
    <mergeCell ref="A66:E66"/>
    <mergeCell ref="F66:I66"/>
    <mergeCell ref="J66:L66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2"/>
  <sheetViews>
    <sheetView tabSelected="0" workbookViewId="0" zoomScale="96" view="pageBreakPreview" showGridLines="false" showRowColHeaders="1">
      <selection activeCell="F61" sqref="F61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2.7109375" customWidth="true" style="9"/>
    <col min="6" max="6" width="12.7109375" customWidth="true" style="9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9"/>
    <col min="12" max="12" width="16.7109375" customWidth="true" style="533"/>
  </cols>
  <sheetData>
    <row r="1" spans="1:19" customHeight="1" ht="9.95" s="173" customFormat="1">
      <c r="A1" s="173" t="s">
        <v>0</v>
      </c>
      <c r="J1" s="174"/>
      <c r="L1" s="175"/>
    </row>
    <row r="2" spans="1:19" customHeight="1" ht="9.95" s="173" customFormat="1">
      <c r="A2" s="173" t="s">
        <v>1</v>
      </c>
      <c r="J2" s="174"/>
      <c r="L2" s="175"/>
    </row>
    <row r="3" spans="1:19" customHeight="1" ht="9.95" s="173" customFormat="1">
      <c r="A3" s="173" t="s">
        <v>2</v>
      </c>
      <c r="J3" s="174"/>
      <c r="L3" s="175"/>
    </row>
    <row r="4" spans="1:19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9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9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9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9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814</v>
      </c>
    </row>
    <row r="9" spans="1:19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19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9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9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9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9" customHeight="1" ht="13.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9" customHeight="1" ht="9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9" customHeight="1" ht="18.95" s="1016" customFormat="1">
      <c r="A16" s="15" t="s">
        <v>24</v>
      </c>
      <c r="B16" s="15"/>
      <c r="C16" s="15"/>
      <c r="D16" s="15"/>
      <c r="E16" s="15"/>
      <c r="F16" s="15"/>
      <c r="G16" s="526"/>
      <c r="H16" s="586"/>
      <c r="I16" s="662"/>
      <c r="J16" s="511"/>
      <c r="K16" s="532"/>
      <c r="L16" s="533"/>
    </row>
    <row r="17" spans="1:19" customHeight="1" ht="18.95" s="1016" customFormat="1">
      <c r="A17" s="58" t="s">
        <v>25</v>
      </c>
      <c r="B17" s="15"/>
      <c r="C17" s="15"/>
      <c r="D17" s="15"/>
      <c r="E17" s="15"/>
      <c r="F17" s="15"/>
      <c r="G17" s="532"/>
      <c r="H17" s="537"/>
      <c r="I17" s="537"/>
      <c r="J17" s="533"/>
      <c r="K17" s="532"/>
      <c r="L17" s="533"/>
    </row>
    <row r="18" spans="1:19" customHeight="1" ht="18.95" s="100" customFormat="1">
      <c r="B18" s="33" t="s">
        <v>26</v>
      </c>
      <c r="C18" s="33"/>
      <c r="D18" s="33"/>
      <c r="E18" s="33"/>
      <c r="F18" s="33"/>
      <c r="G18" s="208" t="s">
        <v>27</v>
      </c>
      <c r="H18" s="1329">
        <v>4555918.91</v>
      </c>
      <c r="I18" s="1329">
        <v>0</v>
      </c>
      <c r="J18" s="1330">
        <v>0</v>
      </c>
      <c r="K18" s="1329">
        <v>0</v>
      </c>
      <c r="L18" s="1330">
        <v>0</v>
      </c>
    </row>
    <row r="19" spans="1:19" customHeight="1" ht="18.95" s="100" customFormat="1">
      <c r="B19" s="33" t="s">
        <v>28</v>
      </c>
      <c r="C19" s="33"/>
      <c r="D19" s="33"/>
      <c r="E19" s="33"/>
      <c r="F19" s="33"/>
      <c r="G19" s="208" t="s">
        <v>29</v>
      </c>
      <c r="H19" s="469">
        <v>566818.18</v>
      </c>
      <c r="I19" s="404">
        <v>0</v>
      </c>
      <c r="J19" s="405">
        <v>0</v>
      </c>
      <c r="K19" s="404">
        <v>0</v>
      </c>
      <c r="L19" s="405">
        <v>0</v>
      </c>
    </row>
    <row r="20" spans="1:19" customHeight="1" ht="18.95" s="100" customFormat="1">
      <c r="B20" s="33" t="s">
        <v>34</v>
      </c>
      <c r="C20" s="33"/>
      <c r="D20" s="33"/>
      <c r="E20" s="33"/>
      <c r="F20" s="33"/>
      <c r="G20" s="208" t="s">
        <v>35</v>
      </c>
      <c r="H20" s="469">
        <v>144000</v>
      </c>
      <c r="I20" s="404">
        <v>0</v>
      </c>
      <c r="J20" s="405">
        <v>0</v>
      </c>
      <c r="K20" s="404">
        <v>0</v>
      </c>
      <c r="L20" s="405">
        <v>0</v>
      </c>
    </row>
    <row r="21" spans="1:19" customHeight="1" ht="18.95" s="100" customFormat="1">
      <c r="B21" s="33" t="s">
        <v>36</v>
      </c>
      <c r="C21" s="33"/>
      <c r="D21" s="33"/>
      <c r="E21" s="33"/>
      <c r="F21" s="33"/>
      <c r="G21" s="208" t="s">
        <v>37</v>
      </c>
      <c r="H21" s="469">
        <v>200962</v>
      </c>
      <c r="I21" s="404">
        <v>0</v>
      </c>
      <c r="J21" s="405">
        <v>0</v>
      </c>
      <c r="K21" s="404">
        <v>0</v>
      </c>
      <c r="L21" s="405">
        <v>0</v>
      </c>
    </row>
    <row r="22" spans="1:19" customHeight="1" ht="18.95" s="100" customFormat="1">
      <c r="B22" s="33" t="s">
        <v>38</v>
      </c>
      <c r="C22" s="33"/>
      <c r="D22" s="33"/>
      <c r="E22" s="33"/>
      <c r="F22" s="33"/>
      <c r="G22" s="208" t="s">
        <v>39</v>
      </c>
      <c r="H22" s="469">
        <v>389997.4</v>
      </c>
      <c r="I22" s="404">
        <v>0</v>
      </c>
      <c r="J22" s="405">
        <v>0</v>
      </c>
      <c r="K22" s="404">
        <v>0</v>
      </c>
      <c r="L22" s="405">
        <v>0</v>
      </c>
    </row>
    <row r="23" spans="1:19" customHeight="1" ht="18.95" s="100" customFormat="1">
      <c r="B23" s="33" t="s">
        <v>40</v>
      </c>
      <c r="C23" s="33"/>
      <c r="D23" s="33"/>
      <c r="E23" s="33"/>
      <c r="F23" s="33"/>
      <c r="G23" s="208" t="s">
        <v>41</v>
      </c>
      <c r="H23" s="469">
        <v>119250</v>
      </c>
      <c r="I23" s="404">
        <v>0</v>
      </c>
      <c r="J23" s="405">
        <v>0</v>
      </c>
      <c r="K23" s="404">
        <v>0</v>
      </c>
      <c r="L23" s="405">
        <v>0</v>
      </c>
    </row>
    <row r="24" spans="1:19" customHeight="1" ht="18.95" s="100" customFormat="1">
      <c r="B24" s="33" t="s">
        <v>42</v>
      </c>
      <c r="C24" s="33"/>
      <c r="D24" s="33"/>
      <c r="E24" s="33"/>
      <c r="F24" s="33"/>
      <c r="G24" s="208" t="s">
        <v>43</v>
      </c>
      <c r="H24" s="469">
        <v>503696</v>
      </c>
      <c r="I24" s="404">
        <v>0</v>
      </c>
      <c r="J24" s="405">
        <v>0</v>
      </c>
      <c r="K24" s="404">
        <v>0</v>
      </c>
      <c r="L24" s="405">
        <v>0</v>
      </c>
    </row>
    <row r="25" spans="1:19" customHeight="1" ht="18.95" s="100" customFormat="1">
      <c r="B25" s="34" t="s">
        <v>44</v>
      </c>
      <c r="C25" s="33"/>
      <c r="D25" s="33"/>
      <c r="E25" s="33"/>
      <c r="F25" s="415"/>
      <c r="G25" s="208"/>
      <c r="H25" s="469"/>
      <c r="I25" s="404"/>
      <c r="J25" s="405"/>
      <c r="K25" s="404"/>
      <c r="L25" s="405"/>
    </row>
    <row r="26" spans="1:19" customHeight="1" ht="18.95" s="100" customFormat="1">
      <c r="B26" s="34" t="s">
        <v>45</v>
      </c>
      <c r="C26" s="33"/>
      <c r="D26" s="33"/>
      <c r="E26" s="33"/>
      <c r="F26" s="414"/>
      <c r="G26" s="208"/>
      <c r="H26" s="469"/>
      <c r="I26" s="404"/>
      <c r="J26" s="405"/>
      <c r="K26" s="404"/>
      <c r="L26" s="405"/>
    </row>
    <row r="27" spans="1:19" customHeight="1" ht="18.95" s="100" customFormat="1">
      <c r="B27" s="33" t="s">
        <v>46</v>
      </c>
      <c r="C27" s="33"/>
      <c r="D27" s="33"/>
      <c r="E27" s="33"/>
      <c r="F27" s="33"/>
      <c r="G27" s="208" t="s">
        <v>47</v>
      </c>
      <c r="H27" s="469">
        <v>546727.46</v>
      </c>
      <c r="I27" s="404">
        <v>0</v>
      </c>
      <c r="J27" s="405">
        <v>0</v>
      </c>
      <c r="K27" s="404">
        <v>0</v>
      </c>
      <c r="L27" s="405">
        <v>0</v>
      </c>
    </row>
    <row r="28" spans="1:19" customHeight="1" ht="18.95" s="100" customFormat="1">
      <c r="B28" s="33" t="s">
        <v>48</v>
      </c>
      <c r="C28" s="33"/>
      <c r="D28" s="33"/>
      <c r="E28" s="33"/>
      <c r="F28" s="33"/>
      <c r="G28" s="208" t="s">
        <v>49</v>
      </c>
      <c r="H28" s="469">
        <v>28400</v>
      </c>
      <c r="I28" s="404">
        <v>0</v>
      </c>
      <c r="J28" s="405">
        <v>0</v>
      </c>
      <c r="K28" s="404">
        <v>0</v>
      </c>
      <c r="L28" s="405">
        <v>0</v>
      </c>
    </row>
    <row r="29" spans="1:19" customHeight="1" ht="18.95" s="100" customFormat="1">
      <c r="B29" s="33" t="s">
        <v>50</v>
      </c>
      <c r="C29" s="33"/>
      <c r="D29" s="33"/>
      <c r="E29" s="33"/>
      <c r="F29" s="33"/>
      <c r="G29" s="208" t="s">
        <v>51</v>
      </c>
      <c r="H29" s="469">
        <v>67339.09</v>
      </c>
      <c r="I29" s="404">
        <v>0</v>
      </c>
      <c r="J29" s="405">
        <v>0</v>
      </c>
      <c r="K29" s="404">
        <v>0</v>
      </c>
      <c r="L29" s="405">
        <v>0</v>
      </c>
    </row>
    <row r="30" spans="1:19" customHeight="1" ht="18.95" s="100" customFormat="1">
      <c r="B30" s="33" t="s">
        <v>52</v>
      </c>
      <c r="C30" s="33"/>
      <c r="D30" s="33"/>
      <c r="E30" s="33"/>
      <c r="F30" s="33"/>
      <c r="G30" s="208" t="s">
        <v>53</v>
      </c>
      <c r="H30" s="469">
        <v>28358.54</v>
      </c>
      <c r="I30" s="404">
        <v>0</v>
      </c>
      <c r="J30" s="405">
        <v>0</v>
      </c>
      <c r="K30" s="404">
        <v>0</v>
      </c>
      <c r="L30" s="405">
        <v>0</v>
      </c>
    </row>
    <row r="31" spans="1:19" customHeight="1" ht="18.95" s="100" customFormat="1">
      <c r="B31" s="33" t="s">
        <v>815</v>
      </c>
      <c r="C31" s="33"/>
      <c r="D31" s="33"/>
      <c r="E31" s="33"/>
      <c r="F31" s="33"/>
      <c r="G31" s="208" t="s">
        <v>55</v>
      </c>
      <c r="H31" s="416">
        <v>596250</v>
      </c>
      <c r="I31" s="416">
        <v>0</v>
      </c>
      <c r="J31" s="416">
        <v>0</v>
      </c>
      <c r="K31" s="416">
        <v>0</v>
      </c>
      <c r="L31" s="1331">
        <v>0</v>
      </c>
    </row>
    <row r="32" spans="1:19" customHeight="1" ht="18.95" s="1216" customFormat="1">
      <c r="A32" s="6" t="s">
        <v>256</v>
      </c>
      <c r="B32" s="705"/>
      <c r="C32" s="705"/>
      <c r="D32" s="705"/>
      <c r="E32" s="705"/>
      <c r="F32" s="705"/>
      <c r="G32" s="243"/>
      <c r="H32" s="1332">
        <f>SUM(H18:H31)</f>
        <v>7747717.58</v>
      </c>
      <c r="I32" s="1332">
        <f>SUM(I18:I31)</f>
        <v>0</v>
      </c>
      <c r="J32" s="1332">
        <f>SUM(J18:J31)</f>
        <v>0</v>
      </c>
      <c r="K32" s="1332">
        <f>SUM(K18:K31)</f>
        <v>0</v>
      </c>
      <c r="L32" s="1333">
        <f>SUM(L18:L31)</f>
        <v>0</v>
      </c>
    </row>
    <row r="33" spans="1:19" customHeight="1" ht="15" s="1216" customFormat="1">
      <c r="A33" s="543"/>
      <c r="B33" s="1057"/>
      <c r="C33" s="1057"/>
      <c r="D33" s="1057"/>
      <c r="E33" s="1057"/>
      <c r="F33" s="1057"/>
      <c r="G33" s="545"/>
      <c r="H33" s="1334"/>
      <c r="I33" s="1334"/>
      <c r="J33" s="1335"/>
      <c r="K33" s="1334"/>
      <c r="L33" s="1335"/>
    </row>
    <row r="34" spans="1:19" customHeight="1" ht="15" s="1016" customFormat="1">
      <c r="A34" s="58" t="s">
        <v>62</v>
      </c>
      <c r="B34" s="15"/>
      <c r="C34" s="15"/>
      <c r="D34" s="15"/>
      <c r="E34" s="15"/>
      <c r="F34" s="15"/>
      <c r="G34" s="213"/>
      <c r="H34" s="586"/>
      <c r="I34" s="586"/>
      <c r="J34" s="511"/>
      <c r="K34" s="532"/>
      <c r="L34" s="533"/>
    </row>
    <row r="35" spans="1:19" customHeight="1" ht="15" s="101" customFormat="1">
      <c r="B35" s="9" t="s">
        <v>234</v>
      </c>
      <c r="C35" s="9"/>
      <c r="D35" s="9"/>
      <c r="E35" s="9"/>
      <c r="F35" s="9"/>
      <c r="G35" s="238" t="s">
        <v>77</v>
      </c>
      <c r="H35" s="537">
        <v>110739.5</v>
      </c>
      <c r="I35" s="537">
        <v>0</v>
      </c>
      <c r="J35" s="533">
        <v>0</v>
      </c>
      <c r="K35" s="537">
        <v>0</v>
      </c>
      <c r="L35" s="538">
        <v>0</v>
      </c>
    </row>
    <row r="36" spans="1:19" customHeight="1" ht="15" s="101" customFormat="1">
      <c r="B36" s="9" t="s">
        <v>79</v>
      </c>
      <c r="C36" s="9"/>
      <c r="D36" s="9"/>
      <c r="E36" s="9"/>
      <c r="F36" s="9"/>
      <c r="G36" s="238" t="s">
        <v>80</v>
      </c>
      <c r="H36" s="537">
        <v>11805.84</v>
      </c>
      <c r="I36" s="537">
        <v>0</v>
      </c>
      <c r="J36" s="533">
        <v>0</v>
      </c>
      <c r="K36" s="537">
        <v>0</v>
      </c>
      <c r="L36" s="538">
        <v>0</v>
      </c>
    </row>
    <row r="37" spans="1:19" customHeight="1" ht="15" s="101" customFormat="1">
      <c r="B37" s="9" t="s">
        <v>816</v>
      </c>
      <c r="C37" s="9"/>
      <c r="D37" s="9"/>
      <c r="E37" s="9"/>
      <c r="F37" s="9"/>
      <c r="G37" s="238" t="s">
        <v>84</v>
      </c>
      <c r="H37" s="537">
        <v>19811.96</v>
      </c>
      <c r="I37" s="537">
        <v>0</v>
      </c>
      <c r="J37" s="533">
        <v>0</v>
      </c>
      <c r="K37" s="537">
        <v>0</v>
      </c>
      <c r="L37" s="538">
        <v>0</v>
      </c>
    </row>
    <row r="38" spans="1:19" customHeight="1" ht="15" s="101" customFormat="1">
      <c r="B38" s="9" t="s">
        <v>817</v>
      </c>
      <c r="C38" s="9"/>
      <c r="D38" s="9"/>
      <c r="E38" s="9"/>
      <c r="F38" s="9"/>
      <c r="G38" s="238" t="s">
        <v>89</v>
      </c>
      <c r="H38" s="537">
        <v>266744.78</v>
      </c>
      <c r="I38" s="537">
        <v>0</v>
      </c>
      <c r="J38" s="533">
        <v>0</v>
      </c>
      <c r="K38" s="537">
        <v>0</v>
      </c>
      <c r="L38" s="538">
        <v>0</v>
      </c>
    </row>
    <row r="39" spans="1:19" customHeight="1" ht="15" s="101" customFormat="1">
      <c r="B39" s="9" t="s">
        <v>283</v>
      </c>
      <c r="C39" s="9"/>
      <c r="D39" s="9"/>
      <c r="E39" s="9"/>
      <c r="F39" s="9"/>
      <c r="G39" s="238" t="s">
        <v>96</v>
      </c>
      <c r="H39" s="537">
        <v>6230.7</v>
      </c>
      <c r="I39" s="537">
        <v>0</v>
      </c>
      <c r="J39" s="533">
        <v>0</v>
      </c>
      <c r="K39" s="537">
        <v>0</v>
      </c>
      <c r="L39" s="538">
        <v>0</v>
      </c>
    </row>
    <row r="40" spans="1:19" customHeight="1" ht="15" s="101" customFormat="1">
      <c r="B40" s="9" t="s">
        <v>578</v>
      </c>
      <c r="C40" s="9"/>
      <c r="D40" s="9"/>
      <c r="E40" s="9"/>
      <c r="F40" s="9"/>
      <c r="G40" s="238" t="s">
        <v>98</v>
      </c>
      <c r="H40" s="537">
        <v>15192</v>
      </c>
      <c r="I40" s="537">
        <v>0</v>
      </c>
      <c r="J40" s="533">
        <v>0</v>
      </c>
      <c r="K40" s="537">
        <v>0</v>
      </c>
      <c r="L40" s="538">
        <v>0</v>
      </c>
    </row>
    <row r="41" spans="1:19" customHeight="1" ht="15" s="101" customFormat="1">
      <c r="B41" s="9" t="s">
        <v>240</v>
      </c>
      <c r="C41" s="9"/>
      <c r="D41" s="9"/>
      <c r="E41" s="9"/>
      <c r="F41" s="9"/>
      <c r="G41" s="238" t="s">
        <v>125</v>
      </c>
      <c r="H41" s="537">
        <v>4000</v>
      </c>
      <c r="I41" s="537">
        <v>0</v>
      </c>
      <c r="J41" s="533">
        <v>0</v>
      </c>
      <c r="K41" s="537">
        <v>0</v>
      </c>
      <c r="L41" s="538">
        <v>0</v>
      </c>
    </row>
    <row r="42" spans="1:19" customHeight="1" ht="15" s="101" customFormat="1">
      <c r="B42" s="9" t="s">
        <v>203</v>
      </c>
      <c r="C42" s="9"/>
      <c r="D42" s="9"/>
      <c r="E42" s="9"/>
      <c r="F42" s="9"/>
      <c r="G42" s="238" t="s">
        <v>143</v>
      </c>
      <c r="H42" s="537">
        <v>82083.29</v>
      </c>
      <c r="I42" s="537">
        <v>0</v>
      </c>
      <c r="J42" s="533">
        <v>0</v>
      </c>
      <c r="K42" s="537">
        <v>0</v>
      </c>
      <c r="L42" s="538">
        <v>0</v>
      </c>
    </row>
    <row r="43" spans="1:19" customHeight="1" ht="15" s="101" customFormat="1">
      <c r="B43" s="9" t="s">
        <v>150</v>
      </c>
      <c r="C43" s="9"/>
      <c r="D43" s="9"/>
      <c r="E43" s="9"/>
      <c r="F43" s="9"/>
      <c r="G43" s="238" t="s">
        <v>107</v>
      </c>
      <c r="H43" s="416">
        <v>4603000</v>
      </c>
      <c r="I43" s="416">
        <v>0</v>
      </c>
      <c r="J43" s="417">
        <v>0</v>
      </c>
      <c r="K43" s="416">
        <v>0</v>
      </c>
      <c r="L43" s="417">
        <v>0</v>
      </c>
    </row>
    <row r="44" spans="1:19" customHeight="1" ht="15" s="500" customFormat="1">
      <c r="A44" s="496" t="s">
        <v>160</v>
      </c>
      <c r="B44" s="419"/>
      <c r="C44" s="419"/>
      <c r="D44" s="419"/>
      <c r="E44" s="419"/>
      <c r="F44" s="419"/>
      <c r="G44" s="420"/>
      <c r="H44" s="1336">
        <f>SUM(H35:J43)</f>
        <v>5119608.07</v>
      </c>
      <c r="I44" s="1336">
        <f>SUM(I35:K43)</f>
        <v>0</v>
      </c>
      <c r="J44" s="1336">
        <f>SUM(J35:L43)</f>
        <v>0</v>
      </c>
      <c r="K44" s="1336">
        <f>SUM(K35:M43)</f>
        <v>0</v>
      </c>
      <c r="L44" s="1337">
        <f>SUM(L35:N43)</f>
        <v>0</v>
      </c>
    </row>
    <row r="45" spans="1:19" customHeight="1" ht="15" s="500" customFormat="1">
      <c r="A45" s="473" t="s">
        <v>247</v>
      </c>
      <c r="B45" s="419"/>
      <c r="C45" s="419"/>
      <c r="D45" s="419"/>
      <c r="E45" s="419"/>
      <c r="F45" s="419"/>
      <c r="G45" s="420"/>
      <c r="H45" s="1338">
        <f>H32+H44</f>
        <v>12867325.65</v>
      </c>
      <c r="I45" s="1338">
        <f>I32+I44</f>
        <v>0</v>
      </c>
      <c r="J45" s="1338">
        <f>J32+J44</f>
        <v>0</v>
      </c>
      <c r="K45" s="1338">
        <f>K32+K44</f>
        <v>0</v>
      </c>
      <c r="L45" s="1339">
        <f>L32+L44</f>
        <v>0</v>
      </c>
    </row>
    <row r="46" spans="1:19" customHeight="1" ht="12.75" s="9" customFormat="1">
      <c r="A46" s="101"/>
      <c r="G46" s="238"/>
      <c r="H46" s="537"/>
      <c r="I46" s="537"/>
      <c r="J46" s="533"/>
      <c r="K46" s="537"/>
      <c r="L46" s="533"/>
    </row>
    <row r="47" spans="1:19" customHeight="1" ht="15" s="131" customFormat="1">
      <c r="A47" s="102" t="s">
        <v>252</v>
      </c>
      <c r="B47" s="18"/>
      <c r="C47" s="18"/>
      <c r="D47" s="18"/>
      <c r="E47" s="18"/>
      <c r="F47" s="968"/>
      <c r="G47" s="1340"/>
      <c r="H47" s="1341">
        <f>H45</f>
        <v>12867325.65</v>
      </c>
      <c r="I47" s="1341">
        <f>I45</f>
        <v>0</v>
      </c>
      <c r="J47" s="1341">
        <f>J45</f>
        <v>0</v>
      </c>
      <c r="K47" s="1341">
        <f>K45</f>
        <v>0</v>
      </c>
      <c r="L47" s="1342">
        <f>L45</f>
        <v>0</v>
      </c>
    </row>
    <row r="48" spans="1:19" customHeight="1" ht="3" s="9" customFormat="1">
      <c r="A48" s="876"/>
      <c r="B48" s="73"/>
      <c r="C48" s="73"/>
      <c r="D48" s="73"/>
      <c r="E48" s="73"/>
      <c r="F48" s="73"/>
      <c r="G48" s="720"/>
      <c r="H48" s="720"/>
      <c r="I48" s="720"/>
      <c r="J48" s="721"/>
      <c r="K48" s="720"/>
      <c r="L48" s="721"/>
    </row>
    <row r="49" spans="1:19" customHeight="1" ht="10.5" s="273" customFormat="1">
      <c r="A49" s="6"/>
      <c r="B49" s="6"/>
      <c r="G49" s="508"/>
      <c r="H49" s="508"/>
    </row>
    <row r="50" spans="1:19" customHeight="1" ht="15.75" s="9" customFormat="1">
      <c r="A50" s="9" t="s">
        <v>182</v>
      </c>
      <c r="I50" s="509"/>
      <c r="J50" s="509"/>
      <c r="K50" s="509"/>
      <c r="L50" s="509"/>
    </row>
    <row r="51" spans="1:19" customHeight="1" ht="12" s="9" customFormat="1">
      <c r="G51" s="510"/>
      <c r="H51" s="510"/>
      <c r="I51" s="510"/>
      <c r="J51" s="510"/>
      <c r="K51" s="510"/>
      <c r="L51" s="510"/>
    </row>
    <row r="52" spans="1:19" customHeight="1" ht="18" s="9" customFormat="1">
      <c r="A52" s="1493" t="s">
        <v>183</v>
      </c>
      <c r="B52" s="1493"/>
      <c r="C52" s="1493"/>
      <c r="D52" s="511"/>
      <c r="E52" s="511"/>
      <c r="F52" s="512" t="s">
        <v>184</v>
      </c>
      <c r="G52" s="509"/>
      <c r="H52" s="509"/>
      <c r="I52" s="509"/>
      <c r="J52" s="510" t="s">
        <v>185</v>
      </c>
      <c r="K52" s="1494"/>
      <c r="L52" s="1494"/>
    </row>
    <row r="53" spans="1:19" customHeight="1" ht="15" s="9" customFormat="1"/>
    <row r="54" spans="1:19" customHeight="1" ht="15" s="9" customFormat="1"/>
    <row r="55" spans="1:19" customHeight="1" ht="14.25" s="11" customFormat="1">
      <c r="A55" s="1489" t="s">
        <v>276</v>
      </c>
      <c r="B55" s="1489"/>
      <c r="C55" s="1489"/>
      <c r="D55" s="1489"/>
      <c r="E55" s="1489"/>
      <c r="F55" s="1489" t="s">
        <v>187</v>
      </c>
      <c r="G55" s="1489"/>
      <c r="H55" s="1489"/>
      <c r="I55" s="1489"/>
      <c r="J55" s="1489" t="s">
        <v>186</v>
      </c>
      <c r="K55" s="1489"/>
      <c r="L55" s="1489"/>
    </row>
    <row r="56" spans="1:19" customHeight="1" ht="12" s="11" customFormat="1">
      <c r="A56" s="1468" t="s">
        <v>189</v>
      </c>
      <c r="B56" s="1468"/>
      <c r="C56" s="1468"/>
      <c r="D56" s="1468"/>
      <c r="E56" s="1468"/>
      <c r="F56" s="1468" t="s">
        <v>189</v>
      </c>
      <c r="G56" s="1468"/>
      <c r="H56" s="1468"/>
      <c r="I56" s="1468"/>
      <c r="J56" s="1468" t="s">
        <v>188</v>
      </c>
      <c r="K56" s="1468"/>
      <c r="L56" s="1468"/>
    </row>
    <row r="57" spans="1:19" customHeight="1" ht="12" s="9" customFormat="1">
      <c r="A57" s="1468" t="s">
        <v>277</v>
      </c>
      <c r="B57" s="1468"/>
      <c r="C57" s="1468"/>
      <c r="D57" s="1468"/>
      <c r="E57" s="1468"/>
      <c r="F57" s="1468" t="s">
        <v>190</v>
      </c>
      <c r="G57" s="1468"/>
      <c r="H57" s="1468"/>
      <c r="I57" s="1468"/>
      <c r="J57" s="1468"/>
      <c r="K57" s="1468"/>
      <c r="L57" s="1468"/>
    </row>
    <row r="58" spans="1:19" customHeight="1" ht="15" s="9" customFormat="1">
      <c r="A58" s="7"/>
      <c r="B58" s="7"/>
      <c r="F58" s="7"/>
      <c r="G58" s="513"/>
      <c r="H58" s="514"/>
      <c r="I58" s="514"/>
      <c r="J58" s="514"/>
      <c r="L58" s="66"/>
      <c r="M58" s="515"/>
      <c r="P58" s="515"/>
      <c r="Q58" s="149"/>
      <c r="S58" s="516"/>
    </row>
    <row r="59" spans="1:19" customHeight="1" ht="17.45" s="9" customFormat="1">
      <c r="A59" s="7"/>
      <c r="G59" s="591"/>
      <c r="H59" s="591"/>
      <c r="I59" s="591"/>
      <c r="J59" s="591"/>
      <c r="K59" s="591"/>
      <c r="L59" s="591"/>
    </row>
    <row r="60" spans="1:19" customHeight="1" ht="16.5" s="4" customFormat="1">
      <c r="A60" s="7"/>
      <c r="B60" s="7"/>
      <c r="C60" s="7"/>
      <c r="D60" s="7"/>
      <c r="E60" s="7"/>
      <c r="F60" s="9"/>
      <c r="G60" s="320"/>
      <c r="H60" s="591"/>
      <c r="I60" s="591"/>
      <c r="J60" s="591"/>
      <c r="K60" s="754"/>
      <c r="L60" s="598"/>
    </row>
    <row r="61" spans="1:19" customHeight="1" ht="15"/>
    <row r="62" spans="1:19" customHeight="1" ht="1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E56"/>
    <mergeCell ref="F56:I56"/>
    <mergeCell ref="J56:L56"/>
    <mergeCell ref="A57:E57"/>
    <mergeCell ref="F57:I57"/>
    <mergeCell ref="J57:L57"/>
    <mergeCell ref="A15:F15"/>
    <mergeCell ref="A52:C52"/>
    <mergeCell ref="K52:L52"/>
    <mergeCell ref="A55:E55"/>
    <mergeCell ref="F55:I55"/>
    <mergeCell ref="J55:L55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1"/>
  <sheetViews>
    <sheetView tabSelected="0" workbookViewId="0" view="pageBreakPreview" showGridLines="false" showRowColHeaders="1">
      <selection activeCell="R65" sqref="R65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2.7109375" customWidth="true" style="9"/>
    <col min="6" max="6" width="12.7109375" customWidth="true" style="9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9"/>
    <col min="12" max="12" width="16.7109375" customWidth="true" style="533"/>
    <col min="14" max="14" width="17.42578125" customWidth="true" style="387"/>
  </cols>
  <sheetData>
    <row r="1" spans="1:19" customHeight="1" ht="9.95" s="173" customFormat="1">
      <c r="A1" s="173" t="s">
        <v>0</v>
      </c>
      <c r="J1" s="174"/>
      <c r="L1" s="175"/>
    </row>
    <row r="2" spans="1:19" customHeight="1" ht="9.95" s="173" customFormat="1">
      <c r="A2" s="173" t="s">
        <v>1</v>
      </c>
      <c r="J2" s="174"/>
      <c r="L2" s="175"/>
    </row>
    <row r="3" spans="1:19" customHeight="1" ht="9.95" s="173" customFormat="1">
      <c r="A3" s="173" t="s">
        <v>2</v>
      </c>
      <c r="J3" s="174"/>
      <c r="L3" s="175"/>
    </row>
    <row r="4" spans="1:19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9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9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9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9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818</v>
      </c>
    </row>
    <row r="9" spans="1:19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 t="s">
        <v>819</v>
      </c>
    </row>
    <row r="10" spans="1:19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9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9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9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9" customHeight="1" ht="13.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9" customHeight="1" ht="9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9" customHeight="1" ht="18" s="1016" customFormat="1">
      <c r="A16" s="15" t="s">
        <v>24</v>
      </c>
      <c r="B16" s="15"/>
      <c r="C16" s="15"/>
      <c r="D16" s="15"/>
      <c r="E16" s="15"/>
      <c r="F16" s="15"/>
      <c r="G16" s="526"/>
      <c r="H16" s="511"/>
      <c r="I16" s="662"/>
      <c r="J16" s="511"/>
      <c r="K16" s="532"/>
      <c r="L16" s="533"/>
      <c r="N16" s="1343"/>
    </row>
    <row r="17" spans="1:19" customHeight="1" ht="18" s="1016" customFormat="1">
      <c r="A17" s="58" t="s">
        <v>25</v>
      </c>
      <c r="B17" s="15"/>
      <c r="C17" s="15"/>
      <c r="D17" s="15"/>
      <c r="E17" s="15"/>
      <c r="F17" s="15"/>
      <c r="G17" s="532"/>
      <c r="H17" s="533"/>
      <c r="I17" s="537"/>
      <c r="J17" s="533"/>
      <c r="K17" s="532"/>
      <c r="L17" s="533"/>
      <c r="N17" s="1343"/>
    </row>
    <row r="18" spans="1:19" customHeight="1" ht="18" s="101" customFormat="1">
      <c r="B18" s="9" t="s">
        <v>26</v>
      </c>
      <c r="C18" s="9"/>
      <c r="D18" s="9"/>
      <c r="E18" s="9"/>
      <c r="F18" s="9"/>
      <c r="G18" s="213" t="s">
        <v>27</v>
      </c>
      <c r="H18" s="1344">
        <v>0</v>
      </c>
      <c r="I18" s="709"/>
      <c r="J18" s="1344">
        <f>K18-I18</f>
        <v>755604</v>
      </c>
      <c r="K18" s="709">
        <v>755604</v>
      </c>
      <c r="L18" s="1344">
        <v>772320</v>
      </c>
      <c r="N18" s="1345"/>
    </row>
    <row r="19" spans="1:19" customHeight="1" ht="18" s="101" customFormat="1">
      <c r="B19" s="9" t="s">
        <v>28</v>
      </c>
      <c r="C19" s="9"/>
      <c r="D19" s="9"/>
      <c r="E19" s="9"/>
      <c r="F19" s="9"/>
      <c r="G19" s="213" t="s">
        <v>29</v>
      </c>
      <c r="H19" s="529">
        <v>0</v>
      </c>
      <c r="I19" s="537"/>
      <c r="J19" s="529">
        <f>K19-I19</f>
        <v>24000</v>
      </c>
      <c r="K19" s="616">
        <v>24000</v>
      </c>
      <c r="L19" s="533">
        <v>24000</v>
      </c>
      <c r="N19" s="1345"/>
    </row>
    <row r="20" spans="1:19" customHeight="1" ht="18" s="101" customFormat="1">
      <c r="B20" s="9" t="s">
        <v>34</v>
      </c>
      <c r="C20" s="9"/>
      <c r="D20" s="9"/>
      <c r="E20" s="9"/>
      <c r="F20" s="9"/>
      <c r="G20" s="213" t="s">
        <v>35</v>
      </c>
      <c r="H20" s="529">
        <v>0</v>
      </c>
      <c r="I20" s="537"/>
      <c r="J20" s="529">
        <f>K20-I20</f>
        <v>6000</v>
      </c>
      <c r="K20" s="616">
        <v>6000</v>
      </c>
      <c r="L20" s="533">
        <v>6000</v>
      </c>
      <c r="N20" s="1345"/>
    </row>
    <row r="21" spans="1:19" customHeight="1" ht="18" s="101" customFormat="1">
      <c r="B21" s="9" t="s">
        <v>36</v>
      </c>
      <c r="C21" s="9"/>
      <c r="D21" s="9"/>
      <c r="E21" s="9"/>
      <c r="F21" s="9"/>
      <c r="G21" s="213" t="s">
        <v>37</v>
      </c>
      <c r="H21" s="529">
        <v>113013.5</v>
      </c>
      <c r="I21" s="537">
        <v>53989.79</v>
      </c>
      <c r="J21" s="529">
        <f>K21-I21</f>
        <v>176010.21</v>
      </c>
      <c r="K21" s="616">
        <v>230000</v>
      </c>
      <c r="L21" s="533">
        <v>230000</v>
      </c>
      <c r="N21" s="1345"/>
    </row>
    <row r="22" spans="1:19" customHeight="1" ht="18" s="101" customFormat="1">
      <c r="B22" s="9" t="s">
        <v>38</v>
      </c>
      <c r="C22" s="9"/>
      <c r="D22" s="9"/>
      <c r="E22" s="9"/>
      <c r="F22" s="9"/>
      <c r="G22" s="213" t="s">
        <v>39</v>
      </c>
      <c r="H22" s="529">
        <v>0</v>
      </c>
      <c r="I22" s="537"/>
      <c r="J22" s="529">
        <f>K22-I22</f>
        <v>62967</v>
      </c>
      <c r="K22" s="616">
        <v>62967</v>
      </c>
      <c r="L22" s="533">
        <v>64360</v>
      </c>
      <c r="N22" s="1345"/>
    </row>
    <row r="23" spans="1:19" customHeight="1" ht="18" s="101" customFormat="1">
      <c r="B23" s="9" t="s">
        <v>40</v>
      </c>
      <c r="C23" s="9"/>
      <c r="D23" s="9"/>
      <c r="E23" s="9"/>
      <c r="F23" s="9"/>
      <c r="G23" s="213" t="s">
        <v>41</v>
      </c>
      <c r="H23" s="529">
        <v>0</v>
      </c>
      <c r="I23" s="537"/>
      <c r="J23" s="529">
        <f>K23-I23</f>
        <v>5000</v>
      </c>
      <c r="K23" s="616">
        <v>5000</v>
      </c>
      <c r="L23" s="533">
        <v>5000</v>
      </c>
      <c r="N23" s="1345"/>
    </row>
    <row r="24" spans="1:19" customHeight="1" ht="18" s="101" customFormat="1">
      <c r="B24" s="9" t="s">
        <v>820</v>
      </c>
      <c r="C24" s="9"/>
      <c r="D24" s="9"/>
      <c r="E24" s="9"/>
      <c r="F24" s="9"/>
      <c r="G24" s="213" t="s">
        <v>43</v>
      </c>
      <c r="H24" s="529">
        <v>0</v>
      </c>
      <c r="I24" s="537"/>
      <c r="J24" s="529">
        <f>K24-I24</f>
        <v>67967</v>
      </c>
      <c r="K24" s="616">
        <v>67967</v>
      </c>
      <c r="L24" s="533">
        <f>SUM(F25:F26)</f>
        <v>69360</v>
      </c>
      <c r="N24" s="1345"/>
    </row>
    <row r="25" spans="1:19" customHeight="1" ht="18" s="100" customFormat="1">
      <c r="B25" s="29" t="s">
        <v>44</v>
      </c>
      <c r="C25" s="33"/>
      <c r="D25" s="33"/>
      <c r="E25" s="33"/>
      <c r="F25" s="415">
        <f>L22</f>
        <v>64360</v>
      </c>
      <c r="G25" s="208"/>
      <c r="H25" s="405"/>
      <c r="I25" s="404"/>
      <c r="J25" s="405"/>
      <c r="K25" s="469"/>
      <c r="L25" s="405"/>
      <c r="N25" s="111"/>
    </row>
    <row r="26" spans="1:19" customHeight="1" ht="18" s="100" customFormat="1">
      <c r="B26" s="29" t="s">
        <v>45</v>
      </c>
      <c r="C26" s="33"/>
      <c r="D26" s="33"/>
      <c r="E26" s="33"/>
      <c r="F26" s="414">
        <v>5000</v>
      </c>
      <c r="G26" s="208"/>
      <c r="H26" s="405"/>
      <c r="I26" s="404"/>
      <c r="J26" s="405"/>
      <c r="K26" s="469"/>
      <c r="L26" s="405"/>
      <c r="N26" s="111"/>
    </row>
    <row r="27" spans="1:19" customHeight="1" ht="18" s="101" customFormat="1">
      <c r="B27" s="9" t="s">
        <v>46</v>
      </c>
      <c r="C27" s="9"/>
      <c r="D27" s="9"/>
      <c r="E27" s="9"/>
      <c r="F27" s="9"/>
      <c r="G27" s="213" t="s">
        <v>47</v>
      </c>
      <c r="H27" s="529">
        <v>0</v>
      </c>
      <c r="I27" s="537"/>
      <c r="J27" s="529">
        <f>K27-I27</f>
        <v>90672.48</v>
      </c>
      <c r="K27" s="616">
        <v>90672.48</v>
      </c>
      <c r="L27" s="533">
        <v>92678.4</v>
      </c>
      <c r="N27" s="1345"/>
    </row>
    <row r="28" spans="1:19" customHeight="1" ht="18" s="101" customFormat="1">
      <c r="B28" s="9" t="s">
        <v>48</v>
      </c>
      <c r="C28" s="9"/>
      <c r="D28" s="9"/>
      <c r="E28" s="9"/>
      <c r="F28" s="9"/>
      <c r="G28" s="213" t="s">
        <v>49</v>
      </c>
      <c r="H28" s="529">
        <v>0</v>
      </c>
      <c r="I28" s="537"/>
      <c r="J28" s="529">
        <f>K28-I28</f>
        <v>1200</v>
      </c>
      <c r="K28" s="616">
        <v>1200</v>
      </c>
      <c r="L28" s="533">
        <v>1200</v>
      </c>
      <c r="N28" s="1345"/>
    </row>
    <row r="29" spans="1:19" customHeight="1" ht="18" s="101" customFormat="1">
      <c r="B29" s="9" t="s">
        <v>50</v>
      </c>
      <c r="C29" s="9"/>
      <c r="D29" s="9"/>
      <c r="E29" s="9"/>
      <c r="F29" s="9"/>
      <c r="G29" s="213" t="s">
        <v>51</v>
      </c>
      <c r="H29" s="529">
        <v>0</v>
      </c>
      <c r="I29" s="537"/>
      <c r="J29" s="529">
        <f>K29-I29</f>
        <v>15112.08</v>
      </c>
      <c r="K29" s="616">
        <v>15112.08</v>
      </c>
      <c r="L29" s="533">
        <v>17377.2</v>
      </c>
      <c r="N29" s="1345"/>
    </row>
    <row r="30" spans="1:19" customHeight="1" ht="18" s="101" customFormat="1">
      <c r="B30" s="9" t="s">
        <v>52</v>
      </c>
      <c r="C30" s="9"/>
      <c r="D30" s="9"/>
      <c r="E30" s="9"/>
      <c r="F30" s="9"/>
      <c r="G30" s="213" t="s">
        <v>53</v>
      </c>
      <c r="H30" s="529">
        <v>0</v>
      </c>
      <c r="I30" s="537"/>
      <c r="J30" s="529">
        <f>K30-I30</f>
        <v>1200</v>
      </c>
      <c r="K30" s="616">
        <v>1200</v>
      </c>
      <c r="L30" s="533">
        <v>1200</v>
      </c>
      <c r="N30" s="1345"/>
    </row>
    <row r="31" spans="1:19" customHeight="1" ht="18" s="101" customFormat="1">
      <c r="B31" s="33" t="s">
        <v>815</v>
      </c>
      <c r="C31" s="9"/>
      <c r="D31" s="9"/>
      <c r="E31" s="9"/>
      <c r="F31" s="9"/>
      <c r="G31" s="886" t="s">
        <v>55</v>
      </c>
      <c r="H31" s="542">
        <v>0</v>
      </c>
      <c r="I31" s="541">
        <v>0</v>
      </c>
      <c r="J31" s="556">
        <f>K31-I31</f>
        <v>30345.5</v>
      </c>
      <c r="K31" s="619">
        <v>30345.5</v>
      </c>
      <c r="L31" s="557">
        <v>31016.82</v>
      </c>
      <c r="N31" s="1345"/>
    </row>
    <row r="32" spans="1:19" customHeight="1" ht="18" s="1216" customFormat="1">
      <c r="A32" s="6" t="s">
        <v>256</v>
      </c>
      <c r="B32" s="705"/>
      <c r="C32" s="705"/>
      <c r="D32" s="705"/>
      <c r="E32" s="705"/>
      <c r="F32" s="705"/>
      <c r="G32" s="243"/>
      <c r="H32" s="1346">
        <f>SUM(H18:H31)</f>
        <v>113013.5</v>
      </c>
      <c r="I32" s="1347">
        <f>SUM(I18:I31)</f>
        <v>53989.79</v>
      </c>
      <c r="J32" s="1348">
        <f>SUM(J18:J31)</f>
        <v>1236078.27</v>
      </c>
      <c r="K32" s="1347">
        <f>SUM(K18:K31)</f>
        <v>1290068.06</v>
      </c>
      <c r="L32" s="1346">
        <f>SUM(L18:L31)</f>
        <v>1314512.42</v>
      </c>
      <c r="N32" s="1349"/>
    </row>
    <row r="33" spans="1:19" customHeight="1" ht="17.1" s="1216" customFormat="1">
      <c r="A33" s="1350"/>
      <c r="B33" s="1057"/>
      <c r="C33" s="1057"/>
      <c r="D33" s="1057"/>
      <c r="E33" s="1057"/>
      <c r="F33" s="1057"/>
      <c r="G33" s="545"/>
      <c r="H33" s="624"/>
      <c r="I33" s="546"/>
      <c r="J33" s="546"/>
      <c r="K33" s="623"/>
      <c r="L33" s="624"/>
      <c r="N33" s="1349"/>
    </row>
    <row r="34" spans="1:19" customHeight="1" ht="17.45" s="1016" customFormat="1">
      <c r="A34" s="58" t="s">
        <v>62</v>
      </c>
      <c r="B34" s="15"/>
      <c r="C34" s="15"/>
      <c r="D34" s="15"/>
      <c r="E34" s="15"/>
      <c r="F34" s="15"/>
      <c r="G34" s="213"/>
      <c r="H34" s="511"/>
      <c r="I34" s="586"/>
      <c r="J34" s="586"/>
      <c r="K34" s="605"/>
      <c r="L34" s="533"/>
      <c r="N34" s="1343"/>
    </row>
    <row r="35" spans="1:19" customHeight="1" ht="17.45" s="101" customFormat="1">
      <c r="B35" s="9" t="s">
        <v>63</v>
      </c>
      <c r="C35" s="9"/>
      <c r="D35" s="9"/>
      <c r="E35" s="9"/>
      <c r="F35" s="9"/>
      <c r="G35" s="238" t="s">
        <v>64</v>
      </c>
      <c r="H35" s="1344">
        <v>16200</v>
      </c>
      <c r="I35" s="709"/>
      <c r="J35" s="1344">
        <f>K35-I35</f>
        <v>50000</v>
      </c>
      <c r="K35" s="709">
        <v>50000</v>
      </c>
      <c r="L35" s="1344">
        <v>50000</v>
      </c>
      <c r="N35" s="1345"/>
    </row>
    <row r="36" spans="1:19" customHeight="1" ht="17.45" s="101" customFormat="1">
      <c r="B36" s="9" t="s">
        <v>234</v>
      </c>
      <c r="C36" s="9"/>
      <c r="D36" s="9"/>
      <c r="E36" s="9"/>
      <c r="F36" s="9"/>
      <c r="G36" s="238" t="s">
        <v>77</v>
      </c>
      <c r="H36" s="529">
        <v>177901</v>
      </c>
      <c r="I36" s="537">
        <v>57289</v>
      </c>
      <c r="J36" s="533">
        <f>K36-I36</f>
        <v>306711</v>
      </c>
      <c r="K36" s="537">
        <v>364000</v>
      </c>
      <c r="L36" s="533">
        <v>364000</v>
      </c>
      <c r="N36" s="1345"/>
    </row>
    <row r="37" spans="1:19" customHeight="1" ht="17.45" s="101" customFormat="1">
      <c r="B37" s="9" t="s">
        <v>821</v>
      </c>
      <c r="C37" s="9"/>
      <c r="D37" s="9"/>
      <c r="E37" s="9"/>
      <c r="F37" s="9"/>
      <c r="G37" s="238" t="s">
        <v>260</v>
      </c>
      <c r="H37" s="529">
        <v>0</v>
      </c>
      <c r="I37" s="537"/>
      <c r="J37" s="533">
        <f>K37-I37</f>
        <v>270000</v>
      </c>
      <c r="K37" s="537">
        <v>270000</v>
      </c>
      <c r="L37" s="533">
        <v>270000</v>
      </c>
      <c r="N37" s="1345"/>
    </row>
    <row r="38" spans="1:19" customHeight="1" ht="17.45" s="101" customFormat="1">
      <c r="B38" s="9" t="s">
        <v>79</v>
      </c>
      <c r="C38" s="9"/>
      <c r="D38" s="9"/>
      <c r="E38" s="9"/>
      <c r="F38" s="9"/>
      <c r="G38" s="238" t="s">
        <v>80</v>
      </c>
      <c r="H38" s="529">
        <v>70403</v>
      </c>
      <c r="I38" s="537"/>
      <c r="J38" s="533">
        <f>K38-I38</f>
        <v>90000</v>
      </c>
      <c r="K38" s="537">
        <v>90000</v>
      </c>
      <c r="L38" s="533">
        <v>90000</v>
      </c>
      <c r="N38" s="1345"/>
    </row>
    <row r="39" spans="1:19" customHeight="1" ht="17.45" s="101" customFormat="1">
      <c r="B39" s="9" t="s">
        <v>816</v>
      </c>
      <c r="C39" s="9"/>
      <c r="D39" s="9"/>
      <c r="E39" s="9"/>
      <c r="F39" s="9"/>
      <c r="G39" s="238" t="s">
        <v>84</v>
      </c>
      <c r="H39" s="529">
        <v>107116.32</v>
      </c>
      <c r="I39" s="537">
        <v>55856.2</v>
      </c>
      <c r="J39" s="533">
        <f>K39-I39</f>
        <v>364143.8</v>
      </c>
      <c r="K39" s="537">
        <v>420000</v>
      </c>
      <c r="L39" s="533">
        <v>240000</v>
      </c>
      <c r="N39" s="1345"/>
    </row>
    <row r="40" spans="1:19" customHeight="1" ht="17.45" s="101" customFormat="1">
      <c r="B40" s="9" t="s">
        <v>817</v>
      </c>
      <c r="C40" s="9"/>
      <c r="D40" s="9"/>
      <c r="E40" s="9"/>
      <c r="F40" s="9"/>
      <c r="G40" s="238" t="s">
        <v>89</v>
      </c>
      <c r="H40" s="529">
        <v>303867.36</v>
      </c>
      <c r="I40" s="537">
        <v>106171.76</v>
      </c>
      <c r="J40" s="533">
        <f>K40-I40</f>
        <v>393828.24</v>
      </c>
      <c r="K40" s="537">
        <v>500000</v>
      </c>
      <c r="L40" s="533">
        <v>600000</v>
      </c>
      <c r="N40" s="1345"/>
    </row>
    <row r="41" spans="1:19" customHeight="1" ht="17.45" s="101" customFormat="1">
      <c r="B41" s="9" t="s">
        <v>283</v>
      </c>
      <c r="C41" s="9"/>
      <c r="D41" s="9"/>
      <c r="E41" s="9"/>
      <c r="F41" s="9"/>
      <c r="G41" s="238" t="s">
        <v>96</v>
      </c>
      <c r="H41" s="529">
        <v>0</v>
      </c>
      <c r="I41" s="537"/>
      <c r="J41" s="533">
        <f>K41-I41</f>
        <v>6000</v>
      </c>
      <c r="K41" s="537">
        <v>6000</v>
      </c>
      <c r="L41" s="533">
        <v>0</v>
      </c>
      <c r="N41" s="1345"/>
    </row>
    <row r="42" spans="1:19" customHeight="1" ht="17.45" s="101" customFormat="1">
      <c r="B42" s="9" t="s">
        <v>578</v>
      </c>
      <c r="C42" s="9"/>
      <c r="D42" s="9"/>
      <c r="E42" s="9"/>
      <c r="F42" s="9"/>
      <c r="G42" s="238" t="s">
        <v>98</v>
      </c>
      <c r="H42" s="529">
        <v>14709.6</v>
      </c>
      <c r="I42" s="537"/>
      <c r="J42" s="533">
        <f>K42-I42</f>
        <v>18000</v>
      </c>
      <c r="K42" s="537">
        <v>18000</v>
      </c>
      <c r="L42" s="533">
        <v>43200</v>
      </c>
      <c r="N42" s="1345"/>
    </row>
    <row r="43" spans="1:19" customHeight="1" ht="17.45" s="101" customFormat="1">
      <c r="B43" s="9" t="s">
        <v>822</v>
      </c>
      <c r="C43" s="9"/>
      <c r="D43" s="9"/>
      <c r="E43" s="9"/>
      <c r="F43" s="9"/>
      <c r="G43" s="238" t="s">
        <v>424</v>
      </c>
      <c r="H43" s="529">
        <v>4025.62</v>
      </c>
      <c r="I43" s="537"/>
      <c r="J43" s="533">
        <f>K43-I43</f>
        <v>5520</v>
      </c>
      <c r="K43" s="537">
        <v>5520</v>
      </c>
      <c r="L43" s="533">
        <v>0</v>
      </c>
      <c r="N43" s="1345"/>
    </row>
    <row r="44" spans="1:19" customHeight="1" ht="17.45" s="101" customFormat="1">
      <c r="B44" s="9" t="s">
        <v>823</v>
      </c>
      <c r="C44" s="9"/>
      <c r="D44" s="9"/>
      <c r="E44" s="9"/>
      <c r="F44" s="9"/>
      <c r="G44" s="238" t="s">
        <v>307</v>
      </c>
      <c r="H44" s="529">
        <v>0</v>
      </c>
      <c r="I44" s="537"/>
      <c r="J44" s="533">
        <f>K44-I44</f>
        <v>716811.94</v>
      </c>
      <c r="K44" s="537">
        <v>716811.94</v>
      </c>
      <c r="L44" s="533">
        <v>500000</v>
      </c>
      <c r="N44" s="1345"/>
    </row>
    <row r="45" spans="1:19" customHeight="1" ht="17.45" s="101" customFormat="1">
      <c r="B45" s="9" t="s">
        <v>824</v>
      </c>
      <c r="C45" s="9"/>
      <c r="D45" s="9"/>
      <c r="E45" s="9"/>
      <c r="F45" s="9"/>
      <c r="G45" s="238" t="s">
        <v>100</v>
      </c>
      <c r="H45" s="529">
        <v>0</v>
      </c>
      <c r="I45" s="537"/>
      <c r="J45" s="533">
        <f>K45-I45</f>
        <v>120000</v>
      </c>
      <c r="K45" s="537">
        <v>120000</v>
      </c>
      <c r="L45" s="533">
        <v>100000</v>
      </c>
      <c r="N45" s="1345"/>
    </row>
    <row r="46" spans="1:19" customHeight="1" ht="17.45" s="101" customFormat="1">
      <c r="B46" s="9" t="s">
        <v>766</v>
      </c>
      <c r="C46" s="9"/>
      <c r="D46" s="9"/>
      <c r="E46" s="9"/>
      <c r="F46" s="9"/>
      <c r="G46" s="238" t="s">
        <v>102</v>
      </c>
      <c r="H46" s="529">
        <v>49230</v>
      </c>
      <c r="I46" s="537">
        <v>33350</v>
      </c>
      <c r="J46" s="533">
        <f>K46-I46</f>
        <v>86650</v>
      </c>
      <c r="K46" s="537">
        <v>120000</v>
      </c>
      <c r="L46" s="533">
        <v>100000</v>
      </c>
      <c r="N46" s="1345"/>
    </row>
    <row r="47" spans="1:19" customHeight="1" ht="17.45" s="101" customFormat="1">
      <c r="B47" s="9" t="s">
        <v>825</v>
      </c>
      <c r="C47" s="9"/>
      <c r="D47" s="9"/>
      <c r="E47" s="9"/>
      <c r="F47" s="9"/>
      <c r="G47" s="238" t="s">
        <v>123</v>
      </c>
      <c r="H47" s="529">
        <v>0</v>
      </c>
      <c r="I47" s="537"/>
      <c r="J47" s="533">
        <f>K47-I47</f>
        <v>10000</v>
      </c>
      <c r="K47" s="537">
        <v>10000</v>
      </c>
      <c r="L47" s="533">
        <v>10000</v>
      </c>
      <c r="N47" s="1345"/>
    </row>
    <row r="48" spans="1:19" customHeight="1" ht="17.45" s="101" customFormat="1">
      <c r="B48" s="9" t="s">
        <v>826</v>
      </c>
      <c r="C48" s="9"/>
      <c r="D48" s="9"/>
      <c r="E48" s="9"/>
      <c r="F48" s="9"/>
      <c r="G48" s="238" t="s">
        <v>127</v>
      </c>
      <c r="H48" s="529">
        <v>0</v>
      </c>
      <c r="I48" s="537"/>
      <c r="J48" s="533">
        <f>K48-I48</f>
        <v>180000</v>
      </c>
      <c r="K48" s="537">
        <v>180000</v>
      </c>
      <c r="L48" s="533">
        <v>180000</v>
      </c>
      <c r="N48" s="1345"/>
    </row>
    <row r="49" spans="1:19" customHeight="1" ht="17.45" s="101" customFormat="1">
      <c r="B49" s="9" t="s">
        <v>203</v>
      </c>
      <c r="C49" s="9"/>
      <c r="D49" s="9"/>
      <c r="E49" s="9"/>
      <c r="F49" s="9"/>
      <c r="G49" s="238" t="s">
        <v>143</v>
      </c>
      <c r="H49" s="529">
        <v>99030.3</v>
      </c>
      <c r="I49" s="537">
        <v>59558.42</v>
      </c>
      <c r="J49" s="533">
        <f>K49-I49</f>
        <v>40441.58</v>
      </c>
      <c r="K49" s="537">
        <v>100000</v>
      </c>
      <c r="L49" s="533">
        <v>200000</v>
      </c>
      <c r="N49" s="1345"/>
    </row>
    <row r="50" spans="1:19" customHeight="1" ht="17.45" s="101" customFormat="1">
      <c r="B50" s="9" t="s">
        <v>150</v>
      </c>
      <c r="C50" s="9"/>
      <c r="D50" s="9"/>
      <c r="E50" s="9"/>
      <c r="F50" s="9"/>
      <c r="G50" s="238" t="s">
        <v>107</v>
      </c>
      <c r="H50" s="556">
        <v>3007400</v>
      </c>
      <c r="I50" s="541">
        <v>1245600</v>
      </c>
      <c r="J50" s="557">
        <f>K50-I50</f>
        <v>2804400</v>
      </c>
      <c r="K50" s="541">
        <v>4050000</v>
      </c>
      <c r="L50" s="557">
        <f>4020000+175555.58</f>
        <v>4195555.58</v>
      </c>
      <c r="N50" s="1345"/>
    </row>
    <row r="51" spans="1:19" customHeight="1" ht="17.45" s="273" customFormat="1">
      <c r="A51" s="6" t="s">
        <v>160</v>
      </c>
      <c r="B51" s="705"/>
      <c r="C51" s="705"/>
      <c r="D51" s="705"/>
      <c r="E51" s="705"/>
      <c r="F51" s="705"/>
      <c r="G51" s="243"/>
      <c r="H51" s="1351">
        <f>SUM(H35:H50)</f>
        <v>3849883.2</v>
      </c>
      <c r="I51" s="746">
        <f>SUM(I35:I50)</f>
        <v>1557825.38</v>
      </c>
      <c r="J51" s="747">
        <f>SUM(J35:J50)</f>
        <v>5462506.56</v>
      </c>
      <c r="K51" s="746">
        <f>SUM(K35:K50)</f>
        <v>7020331.94</v>
      </c>
      <c r="L51" s="1351">
        <f>SUM(L35:L50)</f>
        <v>6942755.58</v>
      </c>
      <c r="N51" s="1352"/>
    </row>
    <row r="52" spans="1:19" customHeight="1" ht="17.45" s="21" customFormat="1">
      <c r="A52" s="445" t="s">
        <v>247</v>
      </c>
      <c r="B52" s="445"/>
      <c r="C52" s="445"/>
      <c r="D52" s="445"/>
      <c r="E52" s="445"/>
      <c r="F52" s="445"/>
      <c r="G52" s="1353"/>
      <c r="H52" s="1354">
        <f>H51+H32</f>
        <v>3962896.7</v>
      </c>
      <c r="I52" s="1355">
        <f>I51+I32</f>
        <v>1611815.17</v>
      </c>
      <c r="J52" s="1356">
        <f>J51+J32</f>
        <v>6698584.83</v>
      </c>
      <c r="K52" s="1355">
        <f>K51+K32</f>
        <v>8310400</v>
      </c>
      <c r="L52" s="1354">
        <f>L51+L32</f>
        <v>8257268</v>
      </c>
      <c r="N52" s="1357"/>
    </row>
    <row r="53" spans="1:19" customHeight="1" ht="17.1" s="21" customFormat="1">
      <c r="A53" s="473"/>
      <c r="B53" s="473"/>
      <c r="C53" s="473"/>
      <c r="D53" s="473"/>
      <c r="E53" s="473"/>
      <c r="F53" s="473"/>
      <c r="G53" s="1358"/>
      <c r="H53" s="1359"/>
      <c r="I53" s="1360"/>
      <c r="J53" s="1361"/>
      <c r="K53" s="1360"/>
      <c r="L53" s="1359"/>
      <c r="N53" s="1357"/>
    </row>
    <row r="54" spans="1:19" customHeight="1" ht="16.5" s="1016" customFormat="1">
      <c r="A54" s="58" t="s">
        <v>162</v>
      </c>
      <c r="B54" s="15"/>
      <c r="C54" s="15"/>
      <c r="D54" s="15"/>
      <c r="E54" s="15"/>
      <c r="F54" s="15"/>
      <c r="G54" s="906"/>
      <c r="H54" s="1056"/>
      <c r="I54" s="645"/>
      <c r="J54" s="1056"/>
      <c r="K54" s="645"/>
      <c r="L54" s="615"/>
      <c r="N54" s="1343"/>
    </row>
    <row r="55" spans="1:19" customHeight="1" ht="15" s="101" customFormat="1">
      <c r="B55" s="9" t="s">
        <v>163</v>
      </c>
      <c r="C55" s="7"/>
      <c r="D55" s="7"/>
      <c r="E55" s="7"/>
      <c r="F55" s="9"/>
      <c r="G55" s="906" t="s">
        <v>164</v>
      </c>
      <c r="H55" s="1362">
        <v>0</v>
      </c>
      <c r="I55" s="1363">
        <v>0</v>
      </c>
      <c r="J55" s="1364">
        <f>K55-I55</f>
        <v>100000</v>
      </c>
      <c r="K55" s="1363">
        <v>100000</v>
      </c>
      <c r="L55" s="1364">
        <v>200000</v>
      </c>
      <c r="N55" s="1345"/>
    </row>
    <row r="56" spans="1:19" customHeight="1" ht="18.75" s="1369" customFormat="1">
      <c r="A56" s="18" t="s">
        <v>172</v>
      </c>
      <c r="B56" s="18"/>
      <c r="C56" s="18"/>
      <c r="D56" s="18"/>
      <c r="E56" s="18"/>
      <c r="F56" s="7"/>
      <c r="G56" s="1365"/>
      <c r="H56" s="1366">
        <f>H55</f>
        <v>0</v>
      </c>
      <c r="I56" s="1367">
        <f>I55</f>
        <v>0</v>
      </c>
      <c r="J56" s="1366">
        <f>J55</f>
        <v>100000</v>
      </c>
      <c r="K56" s="1367">
        <f>K55</f>
        <v>100000</v>
      </c>
      <c r="L56" s="1368">
        <f>L55</f>
        <v>200000</v>
      </c>
      <c r="N56" s="1370"/>
    </row>
    <row r="57" spans="1:19" customHeight="1" ht="12" s="21" customFormat="1">
      <c r="A57" s="473"/>
      <c r="B57" s="473"/>
      <c r="C57" s="473"/>
      <c r="D57" s="473"/>
      <c r="E57" s="473"/>
      <c r="F57" s="473"/>
      <c r="G57" s="1358"/>
      <c r="H57" s="1359"/>
      <c r="I57" s="1360"/>
      <c r="J57" s="1361"/>
      <c r="K57" s="1360"/>
      <c r="L57" s="1359"/>
      <c r="N57" s="1357"/>
    </row>
    <row r="58" spans="1:19" customHeight="1" ht="12" s="21" customFormat="1">
      <c r="A58" s="473"/>
      <c r="B58" s="473"/>
      <c r="C58" s="473"/>
      <c r="D58" s="473"/>
      <c r="E58" s="473"/>
      <c r="F58" s="473"/>
      <c r="G58" s="1358"/>
      <c r="H58" s="1359"/>
      <c r="I58" s="1360"/>
      <c r="J58" s="1361"/>
      <c r="K58" s="1360"/>
      <c r="L58" s="1359"/>
      <c r="N58" s="1357"/>
    </row>
    <row r="59" spans="1:19" customHeight="1" ht="12" s="21" customFormat="1">
      <c r="A59" s="473"/>
      <c r="B59" s="473"/>
      <c r="C59" s="473"/>
      <c r="D59" s="473"/>
      <c r="E59" s="473"/>
      <c r="F59" s="473"/>
      <c r="G59" s="1358"/>
      <c r="H59" s="1359"/>
      <c r="I59" s="1360"/>
      <c r="J59" s="1361"/>
      <c r="K59" s="1360"/>
      <c r="L59" s="1359"/>
      <c r="N59" s="1357"/>
    </row>
    <row r="60" spans="1:19" customHeight="1" ht="17.1" s="101" customFormat="1">
      <c r="A60" s="18" t="s">
        <v>252</v>
      </c>
      <c r="B60" s="7"/>
      <c r="C60" s="7"/>
      <c r="D60" s="7"/>
      <c r="E60" s="7"/>
      <c r="F60" s="9"/>
      <c r="G60" s="238"/>
      <c r="H60" s="1371">
        <f>H52+H56</f>
        <v>3962896.7</v>
      </c>
      <c r="I60" s="1372">
        <f>I52+I56</f>
        <v>1611815.17</v>
      </c>
      <c r="J60" s="1372">
        <f>J52+J56</f>
        <v>6798584.83</v>
      </c>
      <c r="K60" s="1371">
        <f>K52+K56</f>
        <v>8410400</v>
      </c>
      <c r="L60" s="1373">
        <f>L52+L56</f>
        <v>8457268</v>
      </c>
      <c r="N60" s="1345">
        <v>8457268</v>
      </c>
    </row>
    <row r="61" spans="1:19" customHeight="1" ht="17.1" s="1216" customFormat="1">
      <c r="A61" s="6"/>
      <c r="B61" s="705"/>
      <c r="C61" s="705"/>
      <c r="D61" s="705"/>
      <c r="E61" s="705"/>
      <c r="F61" s="705"/>
      <c r="G61" s="243"/>
      <c r="H61" s="629"/>
      <c r="I61" s="627"/>
      <c r="J61" s="627"/>
      <c r="K61" s="629"/>
      <c r="L61" s="713"/>
      <c r="N61" s="1349">
        <f>N60-L60</f>
        <v>0</v>
      </c>
    </row>
    <row r="62" spans="1:19" customHeight="1" ht="17.1" s="9" customFormat="1">
      <c r="A62" s="876"/>
      <c r="B62" s="73"/>
      <c r="C62" s="73"/>
      <c r="D62" s="73"/>
      <c r="E62" s="73"/>
      <c r="F62" s="73"/>
      <c r="G62" s="720"/>
      <c r="H62" s="721"/>
      <c r="I62" s="720"/>
      <c r="J62" s="721"/>
      <c r="K62" s="720"/>
      <c r="L62" s="721"/>
      <c r="N62" s="77"/>
    </row>
    <row r="63" spans="1:19" customHeight="1" ht="18" s="273" customFormat="1">
      <c r="A63" s="6"/>
      <c r="B63" s="6"/>
      <c r="G63" s="508"/>
      <c r="H63" s="508"/>
    </row>
    <row r="64" spans="1:19" customHeight="1" ht="18" s="9" customFormat="1">
      <c r="A64" s="9" t="s">
        <v>182</v>
      </c>
      <c r="I64" s="509"/>
      <c r="J64" s="509"/>
      <c r="K64" s="509"/>
      <c r="L64" s="509"/>
    </row>
    <row r="65" spans="1:19" customHeight="1" ht="18" s="9" customFormat="1">
      <c r="G65" s="510"/>
      <c r="H65" s="510"/>
      <c r="I65" s="510"/>
      <c r="J65" s="510"/>
      <c r="K65" s="510"/>
      <c r="L65" s="510"/>
    </row>
    <row r="66" spans="1:19" customHeight="1" ht="18" s="9" customFormat="1">
      <c r="A66" s="1493" t="s">
        <v>183</v>
      </c>
      <c r="B66" s="1493"/>
      <c r="C66" s="1493"/>
      <c r="D66" s="511"/>
      <c r="E66" s="511"/>
      <c r="F66" s="512" t="s">
        <v>184</v>
      </c>
      <c r="G66" s="509"/>
      <c r="H66" s="509"/>
      <c r="I66" s="509"/>
      <c r="J66" s="510" t="s">
        <v>185</v>
      </c>
      <c r="K66" s="1494"/>
      <c r="L66" s="1494"/>
    </row>
    <row r="67" spans="1:19" customHeight="1" ht="18" s="9" customFormat="1"/>
    <row r="68" spans="1:19" customHeight="1" ht="18" s="9" customFormat="1"/>
    <row r="69" spans="1:19" customHeight="1" ht="18" s="11" customFormat="1">
      <c r="A69" s="1489" t="s">
        <v>827</v>
      </c>
      <c r="B69" s="1489"/>
      <c r="C69" s="1489"/>
      <c r="D69" s="1489"/>
      <c r="E69" s="1489"/>
      <c r="F69" s="1489" t="s">
        <v>187</v>
      </c>
      <c r="G69" s="1489"/>
      <c r="H69" s="1489"/>
      <c r="I69" s="1489"/>
      <c r="J69" s="1489" t="s">
        <v>186</v>
      </c>
      <c r="K69" s="1489"/>
      <c r="L69" s="1489"/>
    </row>
    <row r="70" spans="1:19" customHeight="1" ht="12" s="11" customFormat="1">
      <c r="A70" s="1468" t="s">
        <v>828</v>
      </c>
      <c r="B70" s="1468"/>
      <c r="C70" s="1468"/>
      <c r="D70" s="1468"/>
      <c r="E70" s="1468"/>
      <c r="F70" s="1468" t="s">
        <v>189</v>
      </c>
      <c r="G70" s="1468"/>
      <c r="H70" s="1468"/>
      <c r="I70" s="1468"/>
      <c r="J70" s="1468" t="s">
        <v>188</v>
      </c>
      <c r="K70" s="1468"/>
      <c r="L70" s="1468"/>
    </row>
    <row r="71" spans="1:19" customHeight="1" ht="12" s="9" customFormat="1">
      <c r="A71" s="1468"/>
      <c r="B71" s="1468"/>
      <c r="C71" s="1468"/>
      <c r="D71" s="1468"/>
      <c r="E71" s="1468"/>
      <c r="F71" s="1468" t="s">
        <v>190</v>
      </c>
      <c r="G71" s="1468"/>
      <c r="H71" s="1468"/>
      <c r="I71" s="1468"/>
      <c r="J71" s="1468"/>
      <c r="K71" s="1468"/>
      <c r="L71" s="1468"/>
    </row>
    <row r="72" spans="1:19" customHeight="1" ht="15" s="9" customFormat="1">
      <c r="A72" s="7"/>
      <c r="B72" s="7"/>
      <c r="F72" s="7"/>
      <c r="G72" s="513"/>
      <c r="H72" s="514"/>
      <c r="I72" s="514"/>
      <c r="J72" s="514"/>
      <c r="L72" s="66"/>
      <c r="M72" s="515"/>
      <c r="P72" s="515"/>
      <c r="Q72" s="149"/>
      <c r="S72" s="516"/>
    </row>
    <row r="73" spans="1:19" customHeight="1" ht="19.5" s="4" customFormat="1">
      <c r="A73" s="7"/>
      <c r="B73" s="7"/>
      <c r="C73" s="7"/>
      <c r="D73" s="7"/>
      <c r="E73" s="7"/>
      <c r="F73" s="9"/>
      <c r="G73" s="320"/>
      <c r="H73" s="591"/>
      <c r="I73" s="591"/>
      <c r="J73" s="591"/>
      <c r="K73" s="754"/>
      <c r="L73" s="598"/>
      <c r="N73" s="1374"/>
    </row>
    <row r="74" spans="1:19" customHeight="1" ht="17.25" s="9" customFormat="1">
      <c r="A74" s="996"/>
      <c r="B74" s="4"/>
      <c r="C74" s="4"/>
      <c r="D74" s="4"/>
      <c r="E74" s="4"/>
      <c r="F74" s="4"/>
      <c r="G74" s="1375"/>
      <c r="H74" s="1375"/>
      <c r="I74" s="1375"/>
      <c r="J74" s="1375"/>
      <c r="K74" s="1375"/>
      <c r="L74" s="1375"/>
      <c r="N74" s="77"/>
    </row>
    <row r="75" spans="1:19" customHeight="1" ht="14.25" s="4" customFormat="1">
      <c r="A75" s="11"/>
      <c r="B75" s="11"/>
      <c r="C75" s="11"/>
      <c r="D75" s="11"/>
      <c r="E75" s="11"/>
      <c r="G75" s="593"/>
      <c r="H75" s="594"/>
      <c r="I75" s="594"/>
      <c r="J75" s="594"/>
      <c r="K75" s="594"/>
      <c r="L75" s="593"/>
      <c r="N75" s="1374"/>
    </row>
    <row r="76" spans="1:19" customHeight="1" ht="14.25" s="4" customFormat="1">
      <c r="A76" s="11"/>
      <c r="B76" s="11"/>
      <c r="C76" s="11"/>
      <c r="D76" s="11"/>
      <c r="E76" s="11"/>
      <c r="G76" s="593"/>
      <c r="H76" s="594"/>
      <c r="I76" s="594"/>
      <c r="J76" s="594"/>
      <c r="K76" s="594"/>
      <c r="L76" s="593"/>
      <c r="N76" s="1374"/>
    </row>
    <row r="77" spans="1:19" customHeight="1" ht="15" s="4" customFormat="1">
      <c r="A77" s="11"/>
      <c r="B77" s="11"/>
      <c r="C77" s="11"/>
      <c r="D77" s="11"/>
      <c r="E77" s="11"/>
      <c r="G77" s="593"/>
      <c r="H77" s="594"/>
      <c r="I77" s="594"/>
      <c r="J77" s="594"/>
      <c r="K77" s="594"/>
      <c r="L77" s="593"/>
      <c r="N77" s="1374"/>
    </row>
    <row r="78" spans="1:19" customHeight="1" ht="15" s="550" customFormat="1">
      <c r="A78" s="6"/>
      <c r="B78" s="705"/>
      <c r="C78" s="705"/>
      <c r="D78" s="705"/>
      <c r="E78" s="705"/>
      <c r="F78" s="705"/>
      <c r="G78" s="705"/>
      <c r="H78" s="629"/>
      <c r="I78" s="629"/>
      <c r="J78" s="629"/>
      <c r="K78" s="629"/>
      <c r="L78" s="629"/>
      <c r="N78" s="938"/>
    </row>
    <row r="79" spans="1:19" customHeight="1" ht="13.15" s="694" customFormat="1">
      <c r="A79" s="1489"/>
      <c r="B79" s="1489"/>
      <c r="C79" s="1489"/>
      <c r="D79" s="317"/>
      <c r="E79" s="317"/>
      <c r="G79" s="1498"/>
      <c r="H79" s="1498"/>
      <c r="I79" s="695"/>
      <c r="J79" s="695"/>
      <c r="K79" s="1498"/>
      <c r="L79" s="1498"/>
      <c r="N79" s="1376"/>
    </row>
    <row r="80" spans="1:19" customHeight="1" ht="13.15" s="10" customFormat="1">
      <c r="A80" s="1495"/>
      <c r="B80" s="1495"/>
      <c r="C80" s="1495"/>
      <c r="D80" s="600"/>
      <c r="E80" s="600"/>
      <c r="G80" s="1495"/>
      <c r="H80" s="1495"/>
      <c r="I80" s="600"/>
      <c r="J80" s="600"/>
      <c r="K80" s="1495"/>
      <c r="L80" s="1495"/>
      <c r="N80" s="60"/>
    </row>
    <row r="81" spans="1:19" customHeight="1" ht="13.15" s="10" customFormat="1">
      <c r="A81" s="1496"/>
      <c r="B81" s="1496"/>
      <c r="C81" s="1496"/>
      <c r="D81" s="391"/>
      <c r="E81" s="391"/>
      <c r="G81" s="1495"/>
      <c r="H81" s="1495"/>
      <c r="I81" s="600"/>
      <c r="J81" s="600"/>
      <c r="K81" s="600"/>
      <c r="L81" s="600"/>
      <c r="N8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1:C81"/>
    <mergeCell ref="G81:H81"/>
    <mergeCell ref="A79:C79"/>
    <mergeCell ref="G79:H79"/>
    <mergeCell ref="K79:L79"/>
    <mergeCell ref="A80:C80"/>
    <mergeCell ref="G80:H80"/>
    <mergeCell ref="K80:L80"/>
    <mergeCell ref="A70:E70"/>
    <mergeCell ref="F70:I70"/>
    <mergeCell ref="J70:L70"/>
    <mergeCell ref="A71:E71"/>
    <mergeCell ref="F71:I71"/>
    <mergeCell ref="J71:L71"/>
    <mergeCell ref="A15:F15"/>
    <mergeCell ref="A66:C66"/>
    <mergeCell ref="K66:L66"/>
    <mergeCell ref="A69:E69"/>
    <mergeCell ref="F69:I69"/>
    <mergeCell ref="J69:L69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83"/>
  <sheetViews>
    <sheetView tabSelected="0" workbookViewId="0" view="pageBreakPreview" showGridLines="false" showRowColHeaders="1">
      <selection activeCell="A53" sqref="A53:L54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2.7109375" customWidth="true" style="9"/>
    <col min="6" max="6" width="12.7109375" customWidth="true" style="9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9"/>
    <col min="12" max="12" width="16.7109375" customWidth="true" style="533"/>
    <col min="14" max="14" width="17.140625" customWidth="true" style="387"/>
  </cols>
  <sheetData>
    <row r="1" spans="1:19" customHeight="1" ht="9.95" s="173" customFormat="1">
      <c r="A1" s="173" t="s">
        <v>0</v>
      </c>
      <c r="J1" s="174"/>
      <c r="L1" s="175"/>
    </row>
    <row r="2" spans="1:19" customHeight="1" ht="9.95" s="173" customFormat="1">
      <c r="A2" s="173" t="s">
        <v>1</v>
      </c>
      <c r="J2" s="174"/>
      <c r="L2" s="175"/>
    </row>
    <row r="3" spans="1:19" customHeight="1" ht="9.95" s="173" customFormat="1">
      <c r="A3" s="173" t="s">
        <v>2</v>
      </c>
      <c r="J3" s="174"/>
      <c r="L3" s="175"/>
    </row>
    <row r="4" spans="1:19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9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9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9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9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829</v>
      </c>
    </row>
    <row r="9" spans="1:19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19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9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9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9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9" customHeight="1" ht="13.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9" customHeight="1" ht="9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9" customHeight="1" ht="16.5" s="1016" customFormat="1">
      <c r="A16" s="15" t="s">
        <v>24</v>
      </c>
      <c r="B16" s="15"/>
      <c r="C16" s="15"/>
      <c r="D16" s="15"/>
      <c r="E16" s="15"/>
      <c r="F16" s="15"/>
      <c r="G16" s="881"/>
      <c r="H16" s="587"/>
      <c r="I16" s="587"/>
      <c r="J16" s="587"/>
      <c r="K16" s="885"/>
      <c r="L16" s="538"/>
      <c r="N16" s="1343"/>
    </row>
    <row r="17" spans="1:19" customHeight="1" ht="16.5" s="1016" customFormat="1">
      <c r="A17" s="1377" t="s">
        <v>216</v>
      </c>
      <c r="B17" s="15"/>
      <c r="C17" s="15"/>
      <c r="D17" s="15"/>
      <c r="E17" s="15"/>
      <c r="F17" s="15"/>
      <c r="G17" s="885"/>
      <c r="H17" s="538"/>
      <c r="I17" s="538"/>
      <c r="J17" s="538"/>
      <c r="K17" s="885"/>
      <c r="L17" s="538"/>
      <c r="N17" s="1343"/>
    </row>
    <row r="18" spans="1:19" customHeight="1" ht="15" s="100" customFormat="1">
      <c r="B18" s="33" t="s">
        <v>26</v>
      </c>
      <c r="C18" s="33"/>
      <c r="D18" s="33"/>
      <c r="E18" s="33"/>
      <c r="F18" s="33"/>
      <c r="G18" s="1378" t="s">
        <v>27</v>
      </c>
      <c r="H18" s="1379">
        <v>1343844</v>
      </c>
      <c r="I18" s="1379">
        <v>692616</v>
      </c>
      <c r="J18" s="1379">
        <f>K18-I18</f>
        <v>1057152</v>
      </c>
      <c r="K18" s="1379">
        <v>1749768</v>
      </c>
      <c r="L18" s="1379">
        <v>1805700</v>
      </c>
      <c r="N18" s="111"/>
    </row>
    <row r="19" spans="1:19" customHeight="1" ht="15" s="100" customFormat="1">
      <c r="B19" s="33" t="s">
        <v>28</v>
      </c>
      <c r="C19" s="33"/>
      <c r="D19" s="33"/>
      <c r="E19" s="33"/>
      <c r="F19" s="33"/>
      <c r="G19" s="1378" t="s">
        <v>29</v>
      </c>
      <c r="H19" s="1380">
        <v>120000</v>
      </c>
      <c r="I19" s="1380">
        <v>60000</v>
      </c>
      <c r="J19" s="1380">
        <f>K19-I19</f>
        <v>108000</v>
      </c>
      <c r="K19" s="1380">
        <v>168000</v>
      </c>
      <c r="L19" s="1380">
        <v>168000</v>
      </c>
      <c r="N19" s="111"/>
    </row>
    <row r="20" spans="1:19" customHeight="1" ht="15" s="100" customFormat="1">
      <c r="B20" s="33" t="s">
        <v>34</v>
      </c>
      <c r="C20" s="33"/>
      <c r="D20" s="33"/>
      <c r="E20" s="33"/>
      <c r="F20" s="33"/>
      <c r="G20" s="1378" t="s">
        <v>35</v>
      </c>
      <c r="H20" s="1380">
        <v>30000</v>
      </c>
      <c r="I20" s="1380">
        <v>30000</v>
      </c>
      <c r="J20" s="1380">
        <f>K20-I20</f>
        <v>12000</v>
      </c>
      <c r="K20" s="1380">
        <v>42000</v>
      </c>
      <c r="L20" s="1380">
        <v>42000</v>
      </c>
      <c r="N20" s="111"/>
    </row>
    <row r="21" spans="1:19" customHeight="1" ht="15" s="100" customFormat="1">
      <c r="B21" s="33" t="s">
        <v>585</v>
      </c>
      <c r="C21" s="33"/>
      <c r="D21" s="33"/>
      <c r="E21" s="33"/>
      <c r="F21" s="33"/>
      <c r="G21" s="1378" t="s">
        <v>393</v>
      </c>
      <c r="H21" s="1380">
        <v>32000</v>
      </c>
      <c r="I21" s="1380">
        <v>14500</v>
      </c>
      <c r="J21" s="1380">
        <f>K21-I21</f>
        <v>39500</v>
      </c>
      <c r="K21" s="1380">
        <v>54000</v>
      </c>
      <c r="L21" s="1380">
        <v>54000</v>
      </c>
      <c r="N21" s="111"/>
    </row>
    <row r="22" spans="1:19" customHeight="1" ht="15" s="100" customFormat="1">
      <c r="B22" s="33" t="s">
        <v>586</v>
      </c>
      <c r="C22" s="33"/>
      <c r="D22" s="33"/>
      <c r="E22" s="33"/>
      <c r="F22" s="33"/>
      <c r="G22" s="1378" t="s">
        <v>395</v>
      </c>
      <c r="H22" s="1380">
        <v>3300</v>
      </c>
      <c r="I22" s="1380">
        <v>1500</v>
      </c>
      <c r="J22" s="1380">
        <f>K22-I22</f>
        <v>3900</v>
      </c>
      <c r="K22" s="1380">
        <v>5400</v>
      </c>
      <c r="L22" s="1380">
        <v>5400</v>
      </c>
      <c r="N22" s="111"/>
    </row>
    <row r="23" spans="1:19" customHeight="1" ht="15" s="100" customFormat="1">
      <c r="B23" s="33" t="s">
        <v>409</v>
      </c>
      <c r="C23" s="33"/>
      <c r="D23" s="33"/>
      <c r="E23" s="33"/>
      <c r="F23" s="33"/>
      <c r="G23" s="1378" t="s">
        <v>410</v>
      </c>
      <c r="H23" s="1380">
        <v>109314</v>
      </c>
      <c r="I23" s="1380">
        <v>46602</v>
      </c>
      <c r="J23" s="1380">
        <f>K23-I23</f>
        <v>104409</v>
      </c>
      <c r="K23" s="1380">
        <v>151011</v>
      </c>
      <c r="L23" s="1380">
        <v>154665</v>
      </c>
      <c r="N23" s="111"/>
    </row>
    <row r="24" spans="1:19" customHeight="1" ht="15" s="100" customFormat="1">
      <c r="B24" s="33" t="s">
        <v>36</v>
      </c>
      <c r="C24" s="33"/>
      <c r="D24" s="33"/>
      <c r="E24" s="33"/>
      <c r="F24" s="33"/>
      <c r="G24" s="1378" t="s">
        <v>37</v>
      </c>
      <c r="H24" s="1380">
        <v>0</v>
      </c>
      <c r="I24" s="1380">
        <v>0</v>
      </c>
      <c r="J24" s="1380">
        <f>K24-I24</f>
        <v>150000</v>
      </c>
      <c r="K24" s="1380">
        <v>150000</v>
      </c>
      <c r="L24" s="1380">
        <v>150000</v>
      </c>
      <c r="N24" s="111"/>
    </row>
    <row r="25" spans="1:19" customHeight="1" ht="15" s="100" customFormat="1">
      <c r="B25" s="33" t="s">
        <v>38</v>
      </c>
      <c r="C25" s="33"/>
      <c r="D25" s="33"/>
      <c r="E25" s="33"/>
      <c r="F25" s="33"/>
      <c r="G25" s="1378" t="s">
        <v>39</v>
      </c>
      <c r="H25" s="1380">
        <v>111987</v>
      </c>
      <c r="I25" s="1380">
        <v>0</v>
      </c>
      <c r="J25" s="1380">
        <f>K25-I25</f>
        <v>145814</v>
      </c>
      <c r="K25" s="1380">
        <v>145814</v>
      </c>
      <c r="L25" s="1380">
        <v>150475</v>
      </c>
      <c r="N25" s="111"/>
    </row>
    <row r="26" spans="1:19" customHeight="1" ht="15" s="100" customFormat="1">
      <c r="B26" s="33" t="s">
        <v>40</v>
      </c>
      <c r="C26" s="33"/>
      <c r="D26" s="33"/>
      <c r="E26" s="33"/>
      <c r="F26" s="33"/>
      <c r="G26" s="1378" t="s">
        <v>41</v>
      </c>
      <c r="H26" s="1380">
        <v>25000</v>
      </c>
      <c r="I26" s="1380">
        <v>0</v>
      </c>
      <c r="J26" s="1380">
        <f>K26-I26</f>
        <v>35000</v>
      </c>
      <c r="K26" s="1380">
        <v>35000</v>
      </c>
      <c r="L26" s="1380">
        <v>35000</v>
      </c>
      <c r="N26" s="111"/>
    </row>
    <row r="27" spans="1:19" customHeight="1" ht="15" s="100" customFormat="1">
      <c r="B27" s="33" t="s">
        <v>42</v>
      </c>
      <c r="C27" s="33"/>
      <c r="D27" s="33"/>
      <c r="E27" s="33"/>
      <c r="F27" s="33"/>
      <c r="G27" s="1378" t="s">
        <v>43</v>
      </c>
      <c r="H27" s="1380">
        <v>136987</v>
      </c>
      <c r="I27" s="1380">
        <v>115436</v>
      </c>
      <c r="J27" s="1380">
        <f>K27-I27</f>
        <v>65378</v>
      </c>
      <c r="K27" s="1380">
        <v>180814</v>
      </c>
      <c r="L27" s="1380">
        <f>SUM(F28:F29)</f>
        <v>185475</v>
      </c>
      <c r="N27" s="111"/>
    </row>
    <row r="28" spans="1:19" customHeight="1" ht="15" s="100" customFormat="1">
      <c r="B28" s="34" t="s">
        <v>44</v>
      </c>
      <c r="C28" s="33"/>
      <c r="D28" s="33"/>
      <c r="E28" s="33"/>
      <c r="F28" s="415">
        <f>L25</f>
        <v>150475</v>
      </c>
      <c r="G28" s="1378"/>
      <c r="H28" s="1381"/>
      <c r="I28" s="1380"/>
      <c r="J28" s="1380"/>
      <c r="K28" s="1380"/>
      <c r="L28" s="1380"/>
      <c r="N28" s="111"/>
    </row>
    <row r="29" spans="1:19" customHeight="1" ht="15" s="100" customFormat="1">
      <c r="B29" s="34" t="s">
        <v>45</v>
      </c>
      <c r="C29" s="33"/>
      <c r="D29" s="33"/>
      <c r="E29" s="33"/>
      <c r="F29" s="414">
        <v>35000</v>
      </c>
      <c r="G29" s="1378"/>
      <c r="H29" s="1381"/>
      <c r="I29" s="1380"/>
      <c r="J29" s="1380"/>
      <c r="K29" s="1380"/>
      <c r="L29" s="1380"/>
      <c r="N29" s="111"/>
    </row>
    <row r="30" spans="1:19" customHeight="1" ht="15" s="101" customFormat="1">
      <c r="B30" s="33" t="s">
        <v>46</v>
      </c>
      <c r="C30" s="9"/>
      <c r="D30" s="9"/>
      <c r="E30" s="9"/>
      <c r="F30" s="9"/>
      <c r="G30" s="886" t="s">
        <v>47</v>
      </c>
      <c r="H30" s="538">
        <v>161261.28</v>
      </c>
      <c r="I30" s="538">
        <v>83113.92</v>
      </c>
      <c r="J30" s="1380">
        <f>K30-I30</f>
        <v>126858.24</v>
      </c>
      <c r="K30" s="538">
        <v>209972.16</v>
      </c>
      <c r="L30" s="538">
        <v>216684</v>
      </c>
      <c r="N30" s="1345"/>
    </row>
    <row r="31" spans="1:19" customHeight="1" ht="15" s="101" customFormat="1">
      <c r="B31" s="33" t="s">
        <v>48</v>
      </c>
      <c r="C31" s="9"/>
      <c r="D31" s="9"/>
      <c r="E31" s="9"/>
      <c r="F31" s="9"/>
      <c r="G31" s="886" t="s">
        <v>49</v>
      </c>
      <c r="H31" s="538">
        <v>6000</v>
      </c>
      <c r="I31" s="538">
        <v>3000</v>
      </c>
      <c r="J31" s="1380">
        <f>K31-I31</f>
        <v>5400</v>
      </c>
      <c r="K31" s="538">
        <v>8400</v>
      </c>
      <c r="L31" s="538">
        <v>8400</v>
      </c>
      <c r="N31" s="1345"/>
    </row>
    <row r="32" spans="1:19" customHeight="1" ht="15" s="101" customFormat="1">
      <c r="B32" s="33" t="s">
        <v>50</v>
      </c>
      <c r="C32" s="9"/>
      <c r="D32" s="9"/>
      <c r="E32" s="9"/>
      <c r="F32" s="9"/>
      <c r="G32" s="886" t="s">
        <v>51</v>
      </c>
      <c r="H32" s="538">
        <v>19812.88</v>
      </c>
      <c r="I32" s="538">
        <v>10060.62</v>
      </c>
      <c r="J32" s="1380">
        <f>K32-I32</f>
        <v>24934.74</v>
      </c>
      <c r="K32" s="538">
        <v>34995.36</v>
      </c>
      <c r="L32" s="538">
        <v>40628.25</v>
      </c>
      <c r="N32" s="1345"/>
    </row>
    <row r="33" spans="1:19" customHeight="1" ht="15" s="101" customFormat="1">
      <c r="B33" s="33" t="s">
        <v>52</v>
      </c>
      <c r="C33" s="9"/>
      <c r="D33" s="9"/>
      <c r="E33" s="9"/>
      <c r="F33" s="9"/>
      <c r="G33" s="886" t="s">
        <v>53</v>
      </c>
      <c r="H33" s="538">
        <v>6000</v>
      </c>
      <c r="I33" s="538">
        <v>3000</v>
      </c>
      <c r="J33" s="1380">
        <f>K33-I33</f>
        <v>5400</v>
      </c>
      <c r="K33" s="538">
        <v>8400</v>
      </c>
      <c r="L33" s="538">
        <v>8400</v>
      </c>
      <c r="N33" s="1345"/>
    </row>
    <row r="34" spans="1:19" customHeight="1" ht="16.5" s="101" customFormat="1">
      <c r="B34" s="33" t="s">
        <v>815</v>
      </c>
      <c r="C34" s="9"/>
      <c r="D34" s="9"/>
      <c r="E34" s="9"/>
      <c r="F34" s="9"/>
      <c r="G34" s="886" t="s">
        <v>55</v>
      </c>
      <c r="H34" s="542">
        <v>125000</v>
      </c>
      <c r="I34" s="542">
        <v>0</v>
      </c>
      <c r="J34" s="542">
        <f>K34-I34</f>
        <v>70271.7</v>
      </c>
      <c r="K34" s="542">
        <v>70271.7</v>
      </c>
      <c r="L34" s="542">
        <v>72517.97</v>
      </c>
      <c r="N34" s="1345"/>
    </row>
    <row r="35" spans="1:19" customHeight="1" ht="16.5" s="1216" customFormat="1">
      <c r="A35" s="6" t="s">
        <v>256</v>
      </c>
      <c r="B35" s="705"/>
      <c r="C35" s="705"/>
      <c r="D35" s="705"/>
      <c r="E35" s="705"/>
      <c r="F35" s="705"/>
      <c r="G35" s="1382"/>
      <c r="H35" s="1383">
        <f>SUM(H18:H34)</f>
        <v>2230506.16</v>
      </c>
      <c r="I35" s="1383">
        <f>SUM(I18:I34)</f>
        <v>1059828.54</v>
      </c>
      <c r="J35" s="1383">
        <f>SUM(J18:J34)</f>
        <v>1954017.68</v>
      </c>
      <c r="K35" s="1383">
        <f>SUM(K18:K34)</f>
        <v>3013846.22</v>
      </c>
      <c r="L35" s="1383">
        <f>SUM(L18:L34)</f>
        <v>3097345.22</v>
      </c>
      <c r="N35" s="1349"/>
    </row>
    <row r="36" spans="1:19" customHeight="1" ht="15" s="1216" customFormat="1">
      <c r="A36" s="543"/>
      <c r="B36" s="1057"/>
      <c r="C36" s="1057"/>
      <c r="D36" s="1057"/>
      <c r="E36" s="1057"/>
      <c r="F36" s="1057"/>
      <c r="G36" s="1384"/>
      <c r="H36" s="547"/>
      <c r="I36" s="547"/>
      <c r="J36" s="547"/>
      <c r="K36" s="547"/>
      <c r="L36" s="547"/>
      <c r="N36" s="1349"/>
    </row>
    <row r="37" spans="1:19" customHeight="1" ht="18.95" s="1016" customFormat="1">
      <c r="A37" s="1377" t="s">
        <v>345</v>
      </c>
      <c r="B37" s="15"/>
      <c r="C37" s="15"/>
      <c r="D37" s="15"/>
      <c r="E37" s="15"/>
      <c r="F37" s="15"/>
      <c r="G37" s="886"/>
      <c r="H37" s="587"/>
      <c r="I37" s="587"/>
      <c r="J37" s="587"/>
      <c r="K37" s="885"/>
      <c r="L37" s="538"/>
      <c r="N37" s="1343"/>
    </row>
    <row r="38" spans="1:19" customHeight="1" ht="18.95" s="101" customFormat="1">
      <c r="B38" s="9" t="s">
        <v>63</v>
      </c>
      <c r="C38" s="9"/>
      <c r="D38" s="9"/>
      <c r="E38" s="9"/>
      <c r="F38" s="9"/>
      <c r="G38" s="906" t="s">
        <v>64</v>
      </c>
      <c r="H38" s="1056">
        <v>0</v>
      </c>
      <c r="I38" s="1056"/>
      <c r="J38" s="1056">
        <f>K38-I38</f>
        <v>40000</v>
      </c>
      <c r="K38" s="1056">
        <v>40000</v>
      </c>
      <c r="L38" s="1056">
        <v>40000</v>
      </c>
      <c r="N38" s="1345"/>
    </row>
    <row r="39" spans="1:19" customHeight="1" ht="18.95" s="101" customFormat="1">
      <c r="B39" s="9" t="s">
        <v>72</v>
      </c>
      <c r="C39" s="9"/>
      <c r="D39" s="9"/>
      <c r="E39" s="9"/>
      <c r="F39" s="9"/>
      <c r="G39" s="906" t="s">
        <v>73</v>
      </c>
      <c r="H39" s="538">
        <v>0</v>
      </c>
      <c r="I39" s="538"/>
      <c r="J39" s="538">
        <f>K39-I39</f>
        <v>20000</v>
      </c>
      <c r="K39" s="538">
        <v>20000</v>
      </c>
      <c r="L39" s="538">
        <v>20000</v>
      </c>
      <c r="N39" s="1345"/>
    </row>
    <row r="40" spans="1:19" customHeight="1" ht="18.95" s="101" customFormat="1">
      <c r="B40" s="9" t="s">
        <v>234</v>
      </c>
      <c r="C40" s="9"/>
      <c r="D40" s="9"/>
      <c r="E40" s="9"/>
      <c r="F40" s="9"/>
      <c r="G40" s="906" t="s">
        <v>77</v>
      </c>
      <c r="H40" s="538">
        <v>70960</v>
      </c>
      <c r="I40" s="538">
        <v>24598</v>
      </c>
      <c r="J40" s="538">
        <f>K40-I40</f>
        <v>65402</v>
      </c>
      <c r="K40" s="538">
        <v>90000</v>
      </c>
      <c r="L40" s="538">
        <v>90000</v>
      </c>
      <c r="N40" s="1345"/>
    </row>
    <row r="41" spans="1:19" customHeight="1" ht="18.95" s="101" customFormat="1">
      <c r="B41" s="9" t="s">
        <v>79</v>
      </c>
      <c r="C41" s="9"/>
      <c r="D41" s="9"/>
      <c r="E41" s="9"/>
      <c r="F41" s="9"/>
      <c r="G41" s="906" t="s">
        <v>80</v>
      </c>
      <c r="H41" s="538">
        <v>397907.95</v>
      </c>
      <c r="I41" s="538">
        <v>89927.58</v>
      </c>
      <c r="J41" s="538">
        <f>K41-I41</f>
        <v>310072.42</v>
      </c>
      <c r="K41" s="538">
        <v>400000</v>
      </c>
      <c r="L41" s="538">
        <v>500000</v>
      </c>
      <c r="N41" s="1345"/>
    </row>
    <row r="42" spans="1:19" customHeight="1" ht="18.95" s="101" customFormat="1">
      <c r="B42" s="9" t="s">
        <v>830</v>
      </c>
      <c r="C42" s="9"/>
      <c r="D42" s="9"/>
      <c r="E42" s="9"/>
      <c r="F42" s="9"/>
      <c r="G42" s="906" t="s">
        <v>82</v>
      </c>
      <c r="H42" s="538">
        <v>360000</v>
      </c>
      <c r="I42" s="538">
        <v>116100</v>
      </c>
      <c r="J42" s="538">
        <f>K42-I42</f>
        <v>403900</v>
      </c>
      <c r="K42" s="538">
        <v>520000</v>
      </c>
      <c r="L42" s="538">
        <v>520000</v>
      </c>
      <c r="N42" s="1345"/>
    </row>
    <row r="43" spans="1:19" customHeight="1" ht="18.95" s="101" customFormat="1">
      <c r="B43" s="9" t="s">
        <v>816</v>
      </c>
      <c r="C43" s="9"/>
      <c r="D43" s="9"/>
      <c r="E43" s="9"/>
      <c r="F43" s="9"/>
      <c r="G43" s="906" t="s">
        <v>84</v>
      </c>
      <c r="H43" s="538">
        <v>0</v>
      </c>
      <c r="I43" s="538">
        <v>0</v>
      </c>
      <c r="J43" s="538">
        <f>K43-I43</f>
        <v>50000</v>
      </c>
      <c r="K43" s="538">
        <v>50000</v>
      </c>
      <c r="L43" s="538">
        <v>50000</v>
      </c>
      <c r="N43" s="1345"/>
    </row>
    <row r="44" spans="1:19" customHeight="1" ht="18.95" s="101" customFormat="1">
      <c r="B44" s="9" t="s">
        <v>817</v>
      </c>
      <c r="C44" s="9"/>
      <c r="D44" s="9"/>
      <c r="E44" s="9"/>
      <c r="F44" s="9"/>
      <c r="G44" s="906" t="s">
        <v>89</v>
      </c>
      <c r="H44" s="538">
        <v>176582.95</v>
      </c>
      <c r="I44" s="538">
        <v>43250.31</v>
      </c>
      <c r="J44" s="538">
        <f>K44-I44</f>
        <v>456749.69</v>
      </c>
      <c r="K44" s="538">
        <v>500000</v>
      </c>
      <c r="L44" s="538">
        <v>500000</v>
      </c>
      <c r="N44" s="1345"/>
    </row>
    <row r="45" spans="1:19" customHeight="1" ht="18.95" s="101" customFormat="1">
      <c r="B45" s="9" t="s">
        <v>831</v>
      </c>
      <c r="C45" s="9"/>
      <c r="D45" s="9"/>
      <c r="E45" s="9"/>
      <c r="F45" s="9"/>
      <c r="G45" s="906" t="s">
        <v>100</v>
      </c>
      <c r="H45" s="538">
        <v>71400</v>
      </c>
      <c r="I45" s="538">
        <v>21900</v>
      </c>
      <c r="J45" s="538">
        <f>K45-I45</f>
        <v>108100</v>
      </c>
      <c r="K45" s="538">
        <v>130000</v>
      </c>
      <c r="L45" s="538">
        <v>130000</v>
      </c>
      <c r="N45" s="1345"/>
    </row>
    <row r="46" spans="1:19" customHeight="1" ht="18.95" s="101" customFormat="1">
      <c r="B46" s="9" t="s">
        <v>832</v>
      </c>
      <c r="C46" s="9"/>
      <c r="D46" s="9"/>
      <c r="E46" s="9"/>
      <c r="F46" s="9"/>
      <c r="G46" s="906" t="s">
        <v>102</v>
      </c>
      <c r="H46" s="538">
        <v>65755</v>
      </c>
      <c r="I46" s="538">
        <v>59670</v>
      </c>
      <c r="J46" s="538">
        <f>K46-I46</f>
        <v>440330</v>
      </c>
      <c r="K46" s="538">
        <v>500000</v>
      </c>
      <c r="L46" s="538">
        <v>500000</v>
      </c>
      <c r="N46" s="1345"/>
    </row>
    <row r="47" spans="1:19" customHeight="1" ht="18.95" s="101" customFormat="1">
      <c r="B47" s="9" t="s">
        <v>825</v>
      </c>
      <c r="C47" s="9"/>
      <c r="D47" s="9"/>
      <c r="E47" s="9"/>
      <c r="F47" s="9"/>
      <c r="G47" s="906" t="s">
        <v>123</v>
      </c>
      <c r="H47" s="538">
        <v>0</v>
      </c>
      <c r="I47" s="538">
        <v>0</v>
      </c>
      <c r="J47" s="538">
        <f>K47-I47</f>
        <v>6000</v>
      </c>
      <c r="K47" s="538">
        <v>6000</v>
      </c>
      <c r="L47" s="538">
        <v>6000</v>
      </c>
      <c r="N47" s="1345"/>
    </row>
    <row r="48" spans="1:19" customHeight="1" ht="18.95" s="101" customFormat="1">
      <c r="B48" s="9" t="s">
        <v>826</v>
      </c>
      <c r="C48" s="9"/>
      <c r="D48" s="9"/>
      <c r="E48" s="9"/>
      <c r="F48" s="9"/>
      <c r="G48" s="906" t="s">
        <v>127</v>
      </c>
      <c r="H48" s="538">
        <v>0</v>
      </c>
      <c r="I48" s="538">
        <v>0</v>
      </c>
      <c r="J48" s="538">
        <f>K48-I48</f>
        <v>40000</v>
      </c>
      <c r="K48" s="538">
        <v>40000</v>
      </c>
      <c r="L48" s="538">
        <v>40000</v>
      </c>
      <c r="N48" s="1345"/>
    </row>
    <row r="49" spans="1:19" customHeight="1" ht="18.95" s="101" customFormat="1">
      <c r="B49" s="9" t="s">
        <v>203</v>
      </c>
      <c r="C49" s="9"/>
      <c r="D49" s="9"/>
      <c r="E49" s="9"/>
      <c r="F49" s="9"/>
      <c r="G49" s="906" t="s">
        <v>143</v>
      </c>
      <c r="H49" s="538">
        <v>36900.7</v>
      </c>
      <c r="I49" s="538">
        <v>99175</v>
      </c>
      <c r="J49" s="538">
        <f>K49-I49</f>
        <v>260978.78</v>
      </c>
      <c r="K49" s="538">
        <v>360153.78</v>
      </c>
      <c r="L49" s="538">
        <v>400000</v>
      </c>
      <c r="N49" s="1345"/>
    </row>
    <row r="50" spans="1:19" customHeight="1" ht="18.95" s="101" customFormat="1">
      <c r="B50" s="9" t="s">
        <v>150</v>
      </c>
      <c r="C50" s="9"/>
      <c r="D50" s="9"/>
      <c r="E50" s="9"/>
      <c r="F50" s="9"/>
      <c r="G50" s="906" t="s">
        <v>107</v>
      </c>
      <c r="H50" s="542">
        <v>2725250</v>
      </c>
      <c r="I50" s="542">
        <v>984563.33</v>
      </c>
      <c r="J50" s="542">
        <f>K50-I50</f>
        <v>2015436.67</v>
      </c>
      <c r="K50" s="542">
        <v>3000000</v>
      </c>
      <c r="L50" s="542">
        <v>3026654.78</v>
      </c>
      <c r="N50" s="1345"/>
    </row>
    <row r="51" spans="1:19" customHeight="1" ht="18.95" s="273" customFormat="1">
      <c r="A51" s="6" t="s">
        <v>160</v>
      </c>
      <c r="B51" s="705"/>
      <c r="C51" s="705"/>
      <c r="D51" s="705"/>
      <c r="E51" s="705"/>
      <c r="F51" s="705"/>
      <c r="G51" s="1382"/>
      <c r="H51" s="1385">
        <f>SUM(H38:H50)</f>
        <v>3904756.6</v>
      </c>
      <c r="I51" s="1385">
        <f>SUM(I38:I50)</f>
        <v>1439184.22</v>
      </c>
      <c r="J51" s="1385">
        <f>SUM(J38:J50)</f>
        <v>4216969.56</v>
      </c>
      <c r="K51" s="1385">
        <f>SUM(K38:K50)</f>
        <v>5656153.78</v>
      </c>
      <c r="L51" s="1386">
        <f>SUM(L38:L50)</f>
        <v>5822654.78</v>
      </c>
      <c r="N51" s="1352"/>
    </row>
    <row r="52" spans="1:19" customHeight="1" ht="18.95" s="273" customFormat="1">
      <c r="A52" s="473" t="s">
        <v>247</v>
      </c>
      <c r="B52" s="705"/>
      <c r="C52" s="705"/>
      <c r="D52" s="705"/>
      <c r="E52" s="705"/>
      <c r="F52" s="705"/>
      <c r="G52" s="1382"/>
      <c r="H52" s="1387">
        <f>+H51+H35</f>
        <v>6135262.76</v>
      </c>
      <c r="I52" s="1387">
        <f>+I51+I35</f>
        <v>2499012.76</v>
      </c>
      <c r="J52" s="1387">
        <f>+J51+J35</f>
        <v>6170987.24</v>
      </c>
      <c r="K52" s="1387">
        <f>+K51+K35</f>
        <v>8670000</v>
      </c>
      <c r="L52" s="1388">
        <f>+L51+L35</f>
        <v>8920000</v>
      </c>
      <c r="N52" s="1352"/>
    </row>
    <row r="53" spans="1:19" customHeight="1" ht="11.25" s="273" customFormat="1">
      <c r="A53" s="473"/>
      <c r="B53" s="705"/>
      <c r="C53" s="705"/>
      <c r="D53" s="705"/>
      <c r="E53" s="705"/>
      <c r="F53" s="705"/>
      <c r="G53" s="1382"/>
      <c r="H53" s="1361"/>
      <c r="I53" s="1361"/>
      <c r="J53" s="1361"/>
      <c r="K53" s="1361"/>
      <c r="L53" s="1361"/>
      <c r="N53" s="1352"/>
    </row>
    <row r="54" spans="1:19" customHeight="1" ht="11.25" s="273" customFormat="1">
      <c r="A54" s="445"/>
      <c r="B54" s="1057"/>
      <c r="C54" s="1057"/>
      <c r="D54" s="1057"/>
      <c r="E54" s="1057"/>
      <c r="F54" s="1057"/>
      <c r="G54" s="1384"/>
      <c r="H54" s="1389"/>
      <c r="I54" s="1389"/>
      <c r="J54" s="1389"/>
      <c r="K54" s="1389"/>
      <c r="L54" s="1389"/>
      <c r="N54" s="1352"/>
    </row>
    <row r="55" spans="1:19" customHeight="1" ht="20.25" s="273" customFormat="1">
      <c r="A55" s="473"/>
      <c r="B55" s="705"/>
      <c r="C55" s="705"/>
      <c r="D55" s="705"/>
      <c r="E55" s="705"/>
      <c r="F55" s="705"/>
      <c r="G55" s="1382"/>
      <c r="H55" s="1361"/>
      <c r="I55" s="1361"/>
      <c r="J55" s="1361"/>
      <c r="K55" s="1361"/>
      <c r="L55" s="1361"/>
      <c r="N55" s="1352"/>
    </row>
    <row r="56" spans="1:19" customHeight="1" ht="16.5" s="1016" customFormat="1">
      <c r="A56" s="58" t="s">
        <v>162</v>
      </c>
      <c r="B56" s="15"/>
      <c r="C56" s="15"/>
      <c r="D56" s="15"/>
      <c r="E56" s="15"/>
      <c r="F56" s="15"/>
      <c r="G56" s="906"/>
      <c r="H56" s="1056"/>
      <c r="I56" s="1056"/>
      <c r="J56" s="1056"/>
      <c r="K56" s="1056"/>
      <c r="L56" s="1056"/>
      <c r="N56" s="1343"/>
    </row>
    <row r="57" spans="1:19" customHeight="1" ht="19.5" s="101" customFormat="1">
      <c r="B57" s="9" t="s">
        <v>163</v>
      </c>
      <c r="C57" s="7"/>
      <c r="D57" s="7"/>
      <c r="E57" s="7"/>
      <c r="F57" s="9"/>
      <c r="G57" s="906" t="s">
        <v>164</v>
      </c>
      <c r="H57" s="892">
        <v>0</v>
      </c>
      <c r="I57" s="542">
        <v>0</v>
      </c>
      <c r="J57" s="542">
        <f>K57-I57</f>
        <v>80000</v>
      </c>
      <c r="K57" s="542">
        <v>80000</v>
      </c>
      <c r="L57" s="542">
        <v>80000</v>
      </c>
      <c r="N57" s="1345"/>
    </row>
    <row r="58" spans="1:19" customHeight="1" ht="18.75" s="1369" customFormat="1">
      <c r="A58" s="18" t="s">
        <v>172</v>
      </c>
      <c r="B58" s="18"/>
      <c r="C58" s="18"/>
      <c r="D58" s="18"/>
      <c r="E58" s="18"/>
      <c r="F58" s="7"/>
      <c r="G58" s="1365"/>
      <c r="H58" s="1390">
        <f>SUM(H57:H57)</f>
        <v>0</v>
      </c>
      <c r="I58" s="1390">
        <f>SUM(I57:I57)</f>
        <v>0</v>
      </c>
      <c r="J58" s="1390">
        <f>SUM(J57:J57)</f>
        <v>80000</v>
      </c>
      <c r="K58" s="1391">
        <f>SUM(K57:K57)</f>
        <v>80000</v>
      </c>
      <c r="L58" s="1391">
        <f>SUM(L57:L57)</f>
        <v>80000</v>
      </c>
      <c r="N58" s="1370"/>
    </row>
    <row r="59" spans="1:19" customHeight="1" ht="16.5" s="1216" customFormat="1">
      <c r="A59" s="1392"/>
      <c r="B59" s="705"/>
      <c r="C59" s="705"/>
      <c r="D59" s="705"/>
      <c r="E59" s="705"/>
      <c r="F59" s="705"/>
      <c r="G59" s="1382"/>
      <c r="H59" s="1383"/>
      <c r="I59" s="1383"/>
      <c r="J59" s="1383"/>
      <c r="K59" s="1383"/>
      <c r="L59" s="1383"/>
      <c r="N59" s="1349"/>
    </row>
    <row r="60" spans="1:19" customHeight="1" ht="10.5" s="1395" customFormat="1">
      <c r="A60" s="101"/>
      <c r="B60" s="9"/>
      <c r="C60" s="9"/>
      <c r="D60" s="9"/>
      <c r="E60" s="9"/>
      <c r="F60" s="9"/>
      <c r="G60" s="906"/>
      <c r="H60" s="1393"/>
      <c r="I60" s="1394"/>
      <c r="J60" s="1394"/>
      <c r="K60" s="1394"/>
      <c r="L60" s="1316"/>
      <c r="N60" s="1396"/>
    </row>
    <row r="61" spans="1:19" customHeight="1" ht="17.25" s="101" customFormat="1">
      <c r="A61" s="18" t="s">
        <v>252</v>
      </c>
      <c r="B61" s="7"/>
      <c r="C61" s="7"/>
      <c r="D61" s="7"/>
      <c r="E61" s="7"/>
      <c r="F61" s="9"/>
      <c r="G61" s="906"/>
      <c r="H61" s="1397">
        <f>H58+H52</f>
        <v>6135262.76</v>
      </c>
      <c r="I61" s="1397">
        <f>I58+I52</f>
        <v>2499012.76</v>
      </c>
      <c r="J61" s="1397">
        <f>J58+J52</f>
        <v>6250987.24</v>
      </c>
      <c r="K61" s="1398">
        <f>K58+K52</f>
        <v>8750000</v>
      </c>
      <c r="L61" s="1398">
        <f>L58+L52</f>
        <v>9000000</v>
      </c>
      <c r="N61" s="1345">
        <v>9000000</v>
      </c>
    </row>
    <row r="62" spans="1:19" customHeight="1" ht="17.25" s="101" customFormat="1">
      <c r="A62" s="18"/>
      <c r="B62" s="7"/>
      <c r="C62" s="7"/>
      <c r="D62" s="7"/>
      <c r="E62" s="7"/>
      <c r="F62" s="9"/>
      <c r="G62" s="906"/>
      <c r="H62" s="1398"/>
      <c r="I62" s="1398"/>
      <c r="J62" s="1398"/>
      <c r="K62" s="1398"/>
      <c r="L62" s="1398"/>
      <c r="N62" s="1345"/>
    </row>
    <row r="63" spans="1:19" customHeight="1" ht="12.75" s="11" customFormat="1">
      <c r="A63" s="1399"/>
      <c r="B63" s="992"/>
      <c r="C63" s="992"/>
      <c r="D63" s="992"/>
      <c r="E63" s="992"/>
      <c r="F63" s="992"/>
      <c r="G63" s="1400"/>
      <c r="H63" s="1400"/>
      <c r="I63" s="1400"/>
      <c r="J63" s="1400"/>
      <c r="K63" s="1400"/>
      <c r="L63" s="1400"/>
      <c r="N63" s="386"/>
    </row>
    <row r="64" spans="1:19" customHeight="1" ht="18" s="273" customFormat="1">
      <c r="A64" s="6"/>
      <c r="B64" s="6"/>
      <c r="G64" s="508"/>
      <c r="H64" s="508"/>
    </row>
    <row r="65" spans="1:19" customHeight="1" ht="18" s="9" customFormat="1">
      <c r="A65" s="9" t="s">
        <v>182</v>
      </c>
      <c r="I65" s="509"/>
      <c r="J65" s="509"/>
      <c r="K65" s="509"/>
      <c r="L65" s="509"/>
    </row>
    <row r="66" spans="1:19" customHeight="1" ht="18" s="9" customFormat="1">
      <c r="G66" s="510"/>
      <c r="H66" s="510"/>
      <c r="I66" s="510"/>
      <c r="J66" s="510"/>
      <c r="K66" s="510"/>
      <c r="L66" s="510"/>
    </row>
    <row r="67" spans="1:19" customHeight="1" ht="18" s="9" customFormat="1">
      <c r="A67" s="1493" t="s">
        <v>183</v>
      </c>
      <c r="B67" s="1493"/>
      <c r="C67" s="1493"/>
      <c r="D67" s="511"/>
      <c r="E67" s="511"/>
      <c r="F67" s="512" t="s">
        <v>184</v>
      </c>
      <c r="G67" s="509"/>
      <c r="H67" s="509"/>
      <c r="I67" s="509"/>
      <c r="J67" s="510" t="s">
        <v>185</v>
      </c>
      <c r="K67" s="1494"/>
      <c r="L67" s="1494"/>
    </row>
    <row r="68" spans="1:19" customHeight="1" ht="18" s="9" customFormat="1"/>
    <row r="69" spans="1:19" customHeight="1" ht="18" s="9" customFormat="1"/>
    <row r="70" spans="1:19" customHeight="1" ht="18" s="11" customFormat="1">
      <c r="A70" s="1489" t="s">
        <v>605</v>
      </c>
      <c r="B70" s="1489"/>
      <c r="C70" s="1489"/>
      <c r="D70" s="1489"/>
      <c r="E70" s="1489"/>
      <c r="F70" s="1489" t="s">
        <v>187</v>
      </c>
      <c r="G70" s="1489"/>
      <c r="H70" s="1489"/>
      <c r="I70" s="1489"/>
      <c r="J70" s="1489" t="s">
        <v>186</v>
      </c>
      <c r="K70" s="1489"/>
      <c r="L70" s="1489"/>
    </row>
    <row r="71" spans="1:19" customHeight="1" ht="12" s="11" customFormat="1">
      <c r="A71" s="1468" t="s">
        <v>189</v>
      </c>
      <c r="B71" s="1468"/>
      <c r="C71" s="1468"/>
      <c r="D71" s="1468"/>
      <c r="E71" s="1468"/>
      <c r="F71" s="1468" t="s">
        <v>189</v>
      </c>
      <c r="G71" s="1468"/>
      <c r="H71" s="1468"/>
      <c r="I71" s="1468"/>
      <c r="J71" s="1468" t="s">
        <v>188</v>
      </c>
      <c r="K71" s="1468"/>
      <c r="L71" s="1468"/>
    </row>
    <row r="72" spans="1:19" customHeight="1" ht="12" s="9" customFormat="1">
      <c r="A72" s="1468" t="s">
        <v>606</v>
      </c>
      <c r="B72" s="1468"/>
      <c r="C72" s="1468"/>
      <c r="D72" s="1468"/>
      <c r="E72" s="1468"/>
      <c r="F72" s="1468" t="s">
        <v>190</v>
      </c>
      <c r="G72" s="1468"/>
      <c r="H72" s="1468"/>
      <c r="I72" s="1468"/>
      <c r="J72" s="1468"/>
      <c r="K72" s="1468"/>
      <c r="L72" s="1468"/>
    </row>
    <row r="73" spans="1:19" customHeight="1" ht="15" s="9" customFormat="1">
      <c r="A73" s="7"/>
      <c r="B73" s="7"/>
      <c r="F73" s="7"/>
      <c r="G73" s="513"/>
      <c r="H73" s="514"/>
      <c r="I73" s="514"/>
      <c r="J73" s="514"/>
      <c r="L73" s="66"/>
      <c r="M73" s="515"/>
      <c r="P73" s="515"/>
      <c r="Q73" s="149"/>
      <c r="S73" s="516"/>
    </row>
    <row r="74" spans="1:19" customHeight="1" ht="15" s="4" customFormat="1">
      <c r="A74" s="7"/>
      <c r="B74" s="7"/>
      <c r="C74" s="7"/>
      <c r="D74" s="7"/>
      <c r="E74" s="7"/>
      <c r="F74" s="9"/>
      <c r="G74" s="320"/>
      <c r="H74" s="591"/>
      <c r="I74" s="591"/>
      <c r="J74" s="591"/>
      <c r="K74" s="754"/>
      <c r="L74" s="598"/>
      <c r="N74" s="1374"/>
    </row>
    <row r="75" spans="1:19" customHeight="1" ht="15" s="4" customFormat="1">
      <c r="A75" s="11"/>
      <c r="B75" s="11"/>
      <c r="C75" s="11"/>
      <c r="D75" s="11"/>
      <c r="E75" s="11"/>
      <c r="G75" s="593"/>
      <c r="H75" s="594"/>
      <c r="I75" s="594"/>
      <c r="J75" s="594"/>
      <c r="K75" s="594"/>
      <c r="L75" s="593"/>
      <c r="N75" s="1374"/>
    </row>
    <row r="76" spans="1:19" customHeight="1" ht="15" s="550" customFormat="1">
      <c r="A76" s="6"/>
      <c r="B76" s="705"/>
      <c r="C76" s="705"/>
      <c r="D76" s="705"/>
      <c r="E76" s="705"/>
      <c r="F76" s="705"/>
      <c r="G76" s="705"/>
      <c r="H76" s="629"/>
      <c r="I76" s="629"/>
      <c r="J76" s="629"/>
      <c r="K76" s="629"/>
      <c r="L76" s="629"/>
      <c r="N76" s="938"/>
    </row>
    <row r="77" spans="1:19" customHeight="1" ht="13.15" s="694" customFormat="1">
      <c r="A77" s="1489"/>
      <c r="B77" s="1489"/>
      <c r="C77" s="1489"/>
      <c r="D77" s="317"/>
      <c r="E77" s="317"/>
      <c r="G77" s="1498"/>
      <c r="H77" s="1498"/>
      <c r="I77" s="695"/>
      <c r="J77" s="695"/>
      <c r="K77" s="1498"/>
      <c r="L77" s="1498"/>
      <c r="N77" s="1376"/>
    </row>
    <row r="78" spans="1:19" customHeight="1" ht="13.15" s="10" customFormat="1">
      <c r="A78" s="1495"/>
      <c r="B78" s="1495"/>
      <c r="C78" s="1495"/>
      <c r="D78" s="600"/>
      <c r="E78" s="600"/>
      <c r="G78" s="1495"/>
      <c r="H78" s="1495"/>
      <c r="I78" s="600"/>
      <c r="J78" s="600"/>
      <c r="K78" s="1495"/>
      <c r="L78" s="1495"/>
      <c r="N78" s="60"/>
    </row>
    <row r="79" spans="1:19" customHeight="1" ht="13.15" s="10" customFormat="1">
      <c r="A79" s="1496"/>
      <c r="B79" s="1496"/>
      <c r="C79" s="1496"/>
      <c r="D79" s="391"/>
      <c r="E79" s="391"/>
      <c r="G79" s="1495"/>
      <c r="H79" s="1495"/>
      <c r="I79" s="600"/>
      <c r="J79" s="600"/>
      <c r="K79" s="600"/>
      <c r="L79" s="600"/>
      <c r="N79" s="60"/>
    </row>
    <row r="80" spans="1:19" customHeight="1" ht="13.15" s="10" customFormat="1">
      <c r="A80" s="391"/>
      <c r="B80" s="391"/>
      <c r="C80" s="391"/>
      <c r="D80" s="391"/>
      <c r="E80" s="391"/>
      <c r="G80" s="600"/>
      <c r="H80" s="600"/>
      <c r="I80" s="600"/>
      <c r="J80" s="600"/>
      <c r="K80" s="600"/>
      <c r="L80" s="600"/>
      <c r="N80" s="60"/>
    </row>
    <row r="81" spans="1:19" customHeight="1" ht="13.15" s="10" customFormat="1">
      <c r="A81" s="391"/>
      <c r="B81" s="391"/>
      <c r="C81" s="391"/>
      <c r="D81" s="391"/>
      <c r="E81" s="391"/>
      <c r="G81" s="600"/>
      <c r="H81" s="600"/>
      <c r="I81" s="600"/>
      <c r="J81" s="600"/>
      <c r="K81" s="600"/>
      <c r="L81" s="600"/>
      <c r="N81" s="60"/>
    </row>
    <row r="82" spans="1:19" customHeight="1" ht="13.15" s="10" customFormat="1">
      <c r="A82" s="391"/>
      <c r="B82" s="391"/>
      <c r="C82" s="391"/>
      <c r="D82" s="391"/>
      <c r="E82" s="391"/>
      <c r="G82" s="600"/>
      <c r="H82" s="600"/>
      <c r="I82" s="600"/>
      <c r="J82" s="600"/>
      <c r="K82" s="600"/>
      <c r="L82" s="600"/>
      <c r="N82" s="60"/>
    </row>
    <row r="83" spans="1:19" customHeight="1" ht="13.15" s="10" customFormat="1">
      <c r="A83" s="391"/>
      <c r="B83" s="391"/>
      <c r="C83" s="391"/>
      <c r="D83" s="391"/>
      <c r="E83" s="391"/>
      <c r="G83" s="600"/>
      <c r="H83" s="600"/>
      <c r="I83" s="600"/>
      <c r="J83" s="600"/>
      <c r="K83" s="600"/>
      <c r="L83" s="600"/>
      <c r="N8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9:C79"/>
    <mergeCell ref="G79:H79"/>
    <mergeCell ref="A77:C77"/>
    <mergeCell ref="G77:H77"/>
    <mergeCell ref="K77:L77"/>
    <mergeCell ref="A78:C78"/>
    <mergeCell ref="G78:H78"/>
    <mergeCell ref="K78:L78"/>
    <mergeCell ref="A71:E71"/>
    <mergeCell ref="F71:I71"/>
    <mergeCell ref="J71:L71"/>
    <mergeCell ref="A72:E72"/>
    <mergeCell ref="F72:I72"/>
    <mergeCell ref="J72:L72"/>
    <mergeCell ref="A15:F15"/>
    <mergeCell ref="A67:C67"/>
    <mergeCell ref="K67:L67"/>
    <mergeCell ref="A70:E70"/>
    <mergeCell ref="F70:I70"/>
    <mergeCell ref="J70:L70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5" footer="0.5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7"/>
  <sheetViews>
    <sheetView tabSelected="0" workbookViewId="0" view="pageBreakPreview" showGridLines="false" showRowColHeaders="1">
      <selection activeCell="A124" sqref="A124:IV124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0.7109375" customWidth="true" style="9"/>
    <col min="6" max="6" width="14.7109375" customWidth="true" style="7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11"/>
    <col min="12" max="12" width="16.7109375" customWidth="true" style="11"/>
    <col min="13" max="13" width="15.7109375" customWidth="true" style="93"/>
    <col min="14" max="14" width="15" customWidth="true" style="9"/>
    <col min="15" max="15" width="13.85546875" customWidth="true" style="9"/>
    <col min="16" max="16" width="14.5703125" customWidth="true" style="93"/>
    <col min="17" max="17" width="15.7109375" customWidth="true" style="126"/>
    <col min="18" max="18" width="16.140625" customWidth="true" style="0"/>
    <col min="19" max="19" width="12.7109375" customWidth="true" style="86"/>
  </cols>
  <sheetData>
    <row r="1" spans="1:19" customHeight="1" ht="9.95" s="173" customFormat="1">
      <c r="A1" s="173" t="s">
        <v>833</v>
      </c>
      <c r="J1" s="174"/>
      <c r="L1" s="175"/>
    </row>
    <row r="2" spans="1:19" customHeight="1" ht="9.95" s="173" customFormat="1">
      <c r="J2" s="174"/>
      <c r="L2" s="175"/>
    </row>
    <row r="3" spans="1:19" customHeight="1" ht="9.95" s="173" customFormat="1">
      <c r="J3" s="174"/>
      <c r="L3" s="175"/>
    </row>
    <row r="4" spans="1:19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</row>
    <row r="5" spans="1:19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</row>
    <row r="6" spans="1:19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</row>
    <row r="7" spans="1:19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</row>
    <row r="8" spans="1:19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834</v>
      </c>
    </row>
    <row r="9" spans="1:19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</row>
    <row r="10" spans="1:19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</row>
    <row r="11" spans="1:19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</row>
    <row r="12" spans="1:19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</row>
    <row r="13" spans="1:19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</row>
    <row r="14" spans="1:19" customHeight="1" ht="13.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</row>
    <row r="15" spans="1:19" customHeight="1" ht="9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</row>
    <row r="16" spans="1:19" customHeight="1" ht="14.45" s="16" customFormat="1">
      <c r="A16" s="70" t="s">
        <v>835</v>
      </c>
      <c r="B16" s="20"/>
      <c r="C16" s="32"/>
      <c r="D16" s="32"/>
      <c r="E16" s="17"/>
      <c r="F16" s="17"/>
      <c r="G16" s="204"/>
      <c r="H16" s="205"/>
      <c r="I16" s="205"/>
      <c r="J16" s="205"/>
      <c r="K16" s="204"/>
      <c r="L16" s="186"/>
      <c r="M16" s="94"/>
      <c r="N16" s="78"/>
      <c r="O16" s="78"/>
      <c r="P16" s="94"/>
      <c r="Q16" s="114"/>
      <c r="S16" s="83"/>
    </row>
    <row r="17" spans="1:19" customHeight="1" ht="14.45" s="16" customFormat="1">
      <c r="A17" s="59" t="s">
        <v>836</v>
      </c>
      <c r="B17" s="20"/>
      <c r="C17" s="32"/>
      <c r="D17" s="32"/>
      <c r="E17" s="17"/>
      <c r="F17" s="17"/>
      <c r="G17" s="206"/>
      <c r="H17" s="207"/>
      <c r="I17" s="207"/>
      <c r="J17" s="207"/>
      <c r="K17" s="206"/>
      <c r="L17" s="186"/>
      <c r="M17" s="94"/>
      <c r="N17" s="78"/>
      <c r="O17" s="78"/>
      <c r="P17" s="94"/>
      <c r="Q17" s="114"/>
      <c r="S17" s="83"/>
    </row>
    <row r="18" spans="1:19" customHeight="1" ht="14.45" s="40" customFormat="1">
      <c r="C18" s="33" t="s">
        <v>26</v>
      </c>
      <c r="D18" s="33"/>
      <c r="E18" s="33"/>
      <c r="F18" s="21"/>
      <c r="G18" s="208" t="s">
        <v>27</v>
      </c>
      <c r="H18" s="295">
        <v>151289790.07</v>
      </c>
      <c r="I18" s="295">
        <v>82179773.04</v>
      </c>
      <c r="J18" s="295">
        <f>K18-I18</f>
        <v>118277250.96</v>
      </c>
      <c r="K18" s="295">
        <v>200457024</v>
      </c>
      <c r="L18" s="296">
        <v>207741012</v>
      </c>
      <c r="M18" s="95"/>
      <c r="N18" s="100"/>
      <c r="O18" s="100"/>
      <c r="P18" s="95"/>
      <c r="Q18" s="115"/>
      <c r="S18" s="81"/>
    </row>
    <row r="19" spans="1:19" customHeight="1" ht="14.45" s="40" customFormat="1">
      <c r="C19" s="33" t="s">
        <v>28</v>
      </c>
      <c r="D19" s="33"/>
      <c r="E19" s="33"/>
      <c r="F19" s="21"/>
      <c r="G19" s="208" t="s">
        <v>29</v>
      </c>
      <c r="H19" s="210">
        <v>11527181.78</v>
      </c>
      <c r="I19" s="210">
        <v>6159454.45</v>
      </c>
      <c r="J19" s="210">
        <f>K19-I19</f>
        <v>8624545.55</v>
      </c>
      <c r="K19" s="211">
        <v>14784000</v>
      </c>
      <c r="L19" s="187">
        <v>14784000</v>
      </c>
      <c r="M19" s="95"/>
      <c r="N19" s="100"/>
      <c r="O19" s="100"/>
      <c r="P19" s="95"/>
      <c r="Q19" s="115"/>
      <c r="S19" s="81"/>
    </row>
    <row r="20" spans="1:19" customHeight="1" ht="14.45" s="40" customFormat="1">
      <c r="C20" s="33" t="s">
        <v>30</v>
      </c>
      <c r="D20" s="33"/>
      <c r="E20" s="33"/>
      <c r="F20" s="21"/>
      <c r="G20" s="208" t="s">
        <v>31</v>
      </c>
      <c r="H20" s="210">
        <v>3201074.99</v>
      </c>
      <c r="I20" s="210">
        <v>1649270.46</v>
      </c>
      <c r="J20" s="210">
        <f>K20-I20</f>
        <v>1768929.54</v>
      </c>
      <c r="K20" s="211">
        <v>3418200</v>
      </c>
      <c r="L20" s="187">
        <v>3418200</v>
      </c>
      <c r="M20" s="95"/>
      <c r="N20" s="100"/>
      <c r="O20" s="100"/>
      <c r="P20" s="95"/>
      <c r="Q20" s="115"/>
      <c r="S20" s="81"/>
    </row>
    <row r="21" spans="1:19" customHeight="1" ht="14.45" s="40" customFormat="1">
      <c r="C21" s="33" t="s">
        <v>32</v>
      </c>
      <c r="D21" s="33"/>
      <c r="E21" s="33"/>
      <c r="F21" s="21"/>
      <c r="G21" s="208" t="s">
        <v>33</v>
      </c>
      <c r="H21" s="210">
        <v>3201074.98</v>
      </c>
      <c r="I21" s="210">
        <v>1649270.45</v>
      </c>
      <c r="J21" s="210">
        <f>K21-I21</f>
        <v>1768929.55</v>
      </c>
      <c r="K21" s="211">
        <v>3418200</v>
      </c>
      <c r="L21" s="187">
        <v>3418200</v>
      </c>
      <c r="M21" s="95"/>
      <c r="N21" s="100"/>
      <c r="O21" s="100"/>
      <c r="P21" s="95"/>
      <c r="Q21" s="115"/>
      <c r="S21" s="81"/>
    </row>
    <row r="22" spans="1:19" customHeight="1" ht="14.45" s="40" customFormat="1">
      <c r="C22" s="33" t="s">
        <v>34</v>
      </c>
      <c r="D22" s="33"/>
      <c r="E22" s="33"/>
      <c r="F22" s="21"/>
      <c r="G22" s="208" t="s">
        <v>35</v>
      </c>
      <c r="H22" s="210">
        <v>2898000</v>
      </c>
      <c r="I22" s="210">
        <v>2910000</v>
      </c>
      <c r="J22" s="210">
        <f>K22-I22</f>
        <v>786000</v>
      </c>
      <c r="K22" s="211">
        <v>3696000</v>
      </c>
      <c r="L22" s="187">
        <v>3696000</v>
      </c>
      <c r="M22" s="95"/>
      <c r="N22" s="100"/>
      <c r="O22" s="100"/>
      <c r="P22" s="95"/>
      <c r="Q22" s="115"/>
      <c r="S22" s="81"/>
    </row>
    <row r="23" spans="1:19" customHeight="1" ht="14.45" s="40" customFormat="1">
      <c r="C23" s="33" t="s">
        <v>585</v>
      </c>
      <c r="D23" s="33"/>
      <c r="E23" s="33"/>
      <c r="F23" s="21"/>
      <c r="G23" s="208" t="s">
        <v>393</v>
      </c>
      <c r="H23" s="210">
        <v>1375108.34</v>
      </c>
      <c r="I23" s="210">
        <v>571308.34</v>
      </c>
      <c r="J23" s="210">
        <f>K23-I23</f>
        <v>976691.66</v>
      </c>
      <c r="K23" s="211">
        <v>1548000</v>
      </c>
      <c r="L23" s="187">
        <v>1548000</v>
      </c>
      <c r="M23" s="95"/>
      <c r="N23" s="100"/>
      <c r="O23" s="100"/>
      <c r="P23" s="95"/>
      <c r="Q23" s="115"/>
      <c r="S23" s="81"/>
    </row>
    <row r="24" spans="1:19" customHeight="1" ht="14.45" s="40" customFormat="1">
      <c r="C24" s="33" t="s">
        <v>586</v>
      </c>
      <c r="D24" s="33"/>
      <c r="E24" s="33"/>
      <c r="F24" s="21"/>
      <c r="G24" s="208" t="s">
        <v>395</v>
      </c>
      <c r="H24" s="210">
        <v>127800</v>
      </c>
      <c r="I24" s="210">
        <v>50100</v>
      </c>
      <c r="J24" s="210">
        <f>K24-I24</f>
        <v>92100</v>
      </c>
      <c r="K24" s="211">
        <v>142200</v>
      </c>
      <c r="L24" s="187">
        <v>142200</v>
      </c>
      <c r="M24" s="95"/>
      <c r="N24" s="100"/>
      <c r="O24" s="100"/>
      <c r="P24" s="95"/>
      <c r="Q24" s="115"/>
      <c r="S24" s="81"/>
    </row>
    <row r="25" spans="1:19" customHeight="1" ht="14.45" s="40" customFormat="1">
      <c r="C25" s="33" t="s">
        <v>396</v>
      </c>
      <c r="D25" s="33"/>
      <c r="E25" s="33"/>
      <c r="F25" s="21"/>
      <c r="G25" s="208" t="s">
        <v>397</v>
      </c>
      <c r="H25" s="210">
        <v>345000</v>
      </c>
      <c r="I25" s="210">
        <v>147272.72</v>
      </c>
      <c r="J25" s="210">
        <f>K25-I25</f>
        <v>652727.28</v>
      </c>
      <c r="K25" s="211">
        <v>800000</v>
      </c>
      <c r="L25" s="187">
        <v>400000</v>
      </c>
      <c r="M25" s="95"/>
      <c r="N25" s="100"/>
      <c r="O25" s="100"/>
      <c r="P25" s="95"/>
      <c r="Q25" s="115"/>
      <c r="S25" s="81"/>
    </row>
    <row r="26" spans="1:19" customHeight="1" ht="14.45" s="40" customFormat="1">
      <c r="C26" s="33" t="s">
        <v>398</v>
      </c>
      <c r="D26" s="33"/>
      <c r="E26" s="33"/>
      <c r="F26" s="21"/>
      <c r="G26" s="208" t="s">
        <v>399</v>
      </c>
      <c r="H26" s="210">
        <v>6577839.75</v>
      </c>
      <c r="I26" s="210">
        <v>1478650</v>
      </c>
      <c r="J26" s="210">
        <f>K26-I26</f>
        <v>4584550</v>
      </c>
      <c r="K26" s="211">
        <v>6063200</v>
      </c>
      <c r="L26" s="187">
        <v>5663200</v>
      </c>
      <c r="M26" s="95"/>
      <c r="N26" s="100"/>
      <c r="O26" s="100"/>
      <c r="P26" s="95"/>
      <c r="Q26" s="115"/>
      <c r="S26" s="81"/>
    </row>
    <row r="27" spans="1:19" customHeight="1" ht="14.45" s="40" customFormat="1">
      <c r="C27" s="33" t="s">
        <v>409</v>
      </c>
      <c r="D27" s="33"/>
      <c r="E27" s="33"/>
      <c r="F27" s="21"/>
      <c r="G27" s="208" t="s">
        <v>410</v>
      </c>
      <c r="H27" s="210">
        <v>5914926.25</v>
      </c>
      <c r="I27" s="210">
        <v>2518909.4</v>
      </c>
      <c r="J27" s="210">
        <f>K27-I27</f>
        <v>5244560.32</v>
      </c>
      <c r="K27" s="211">
        <v>7763469.72</v>
      </c>
      <c r="L27" s="187">
        <v>8243871.6</v>
      </c>
      <c r="M27" s="95"/>
      <c r="N27" s="100"/>
      <c r="O27" s="100"/>
      <c r="P27" s="95"/>
      <c r="Q27" s="115"/>
      <c r="S27" s="81"/>
    </row>
    <row r="28" spans="1:19" customHeight="1" ht="14.45" s="40" customFormat="1">
      <c r="C28" s="33" t="s">
        <v>36</v>
      </c>
      <c r="D28" s="33"/>
      <c r="E28" s="33"/>
      <c r="F28" s="21"/>
      <c r="G28" s="208" t="s">
        <v>37</v>
      </c>
      <c r="H28" s="210">
        <v>3634638.16</v>
      </c>
      <c r="I28" s="210">
        <v>2149407.53</v>
      </c>
      <c r="J28" s="210">
        <f>K28-I28</f>
        <v>4364708.42</v>
      </c>
      <c r="K28" s="212">
        <v>6514115.95</v>
      </c>
      <c r="L28" s="188">
        <v>6014115.95</v>
      </c>
      <c r="M28" s="95"/>
      <c r="N28" s="100"/>
      <c r="O28" s="100"/>
      <c r="P28" s="95"/>
      <c r="Q28" s="115"/>
      <c r="S28" s="81"/>
    </row>
    <row r="29" spans="1:19" customHeight="1" ht="14.45" s="40" customFormat="1">
      <c r="C29" s="33" t="s">
        <v>38</v>
      </c>
      <c r="D29" s="33"/>
      <c r="E29" s="33"/>
      <c r="F29" s="21"/>
      <c r="G29" s="208" t="s">
        <v>39</v>
      </c>
      <c r="H29" s="210">
        <v>12762412.75</v>
      </c>
      <c r="I29" s="210">
        <v>0</v>
      </c>
      <c r="J29" s="210">
        <f>K29-I29</f>
        <v>16704752</v>
      </c>
      <c r="K29" s="211">
        <v>16704752</v>
      </c>
      <c r="L29" s="187">
        <v>17311751</v>
      </c>
      <c r="M29" s="95"/>
      <c r="N29" s="100"/>
      <c r="O29" s="100"/>
      <c r="P29" s="95"/>
      <c r="Q29" s="115"/>
      <c r="S29" s="81"/>
    </row>
    <row r="30" spans="1:19" customHeight="1" ht="14.45" s="40" customFormat="1">
      <c r="C30" s="33" t="s">
        <v>40</v>
      </c>
      <c r="D30" s="33"/>
      <c r="E30" s="33"/>
      <c r="F30" s="21"/>
      <c r="G30" s="208" t="s">
        <v>41</v>
      </c>
      <c r="H30" s="210">
        <v>2425250</v>
      </c>
      <c r="I30" s="210">
        <v>0</v>
      </c>
      <c r="J30" s="210">
        <f>K30-I30</f>
        <v>3080000</v>
      </c>
      <c r="K30" s="211">
        <v>3080000</v>
      </c>
      <c r="L30" s="187">
        <v>3080000</v>
      </c>
      <c r="M30" s="95"/>
      <c r="N30" s="100"/>
      <c r="O30" s="100"/>
      <c r="P30" s="95"/>
      <c r="Q30" s="115"/>
      <c r="S30" s="81"/>
    </row>
    <row r="31" spans="1:19" customHeight="1" ht="14.45" s="40" customFormat="1">
      <c r="C31" s="33" t="s">
        <v>42</v>
      </c>
      <c r="D31" s="33"/>
      <c r="E31" s="33"/>
      <c r="F31" s="47"/>
      <c r="G31" s="208" t="s">
        <v>43</v>
      </c>
      <c r="H31" s="210">
        <v>14547019</v>
      </c>
      <c r="I31" s="210">
        <v>13235440</v>
      </c>
      <c r="J31" s="210">
        <f>K31-I31</f>
        <v>6549312</v>
      </c>
      <c r="K31" s="211">
        <v>19784752</v>
      </c>
      <c r="L31" s="187">
        <v>20391751</v>
      </c>
      <c r="M31" s="95"/>
      <c r="N31" s="100"/>
      <c r="O31" s="100"/>
      <c r="P31" s="95"/>
      <c r="Q31" s="115"/>
      <c r="S31" s="81"/>
    </row>
    <row r="32" spans="1:19" customHeight="1" ht="14.45" s="40" customFormat="1">
      <c r="C32" s="33" t="s">
        <v>46</v>
      </c>
      <c r="D32" s="33"/>
      <c r="E32" s="33"/>
      <c r="F32" s="21"/>
      <c r="G32" s="208" t="s">
        <v>47</v>
      </c>
      <c r="H32" s="210">
        <v>17800992.73</v>
      </c>
      <c r="I32" s="210">
        <v>9755078.71</v>
      </c>
      <c r="J32" s="210">
        <f>K32-I32</f>
        <v>14299764.17</v>
      </c>
      <c r="K32" s="211">
        <v>24054842.88</v>
      </c>
      <c r="L32" s="187">
        <v>24928921.44</v>
      </c>
      <c r="M32" s="95"/>
      <c r="N32" s="100"/>
      <c r="O32" s="100"/>
      <c r="P32" s="95"/>
      <c r="Q32" s="115"/>
      <c r="S32" s="81"/>
    </row>
    <row r="33" spans="1:19" customHeight="1" ht="14.45" s="40" customFormat="1">
      <c r="C33" s="33" t="s">
        <v>48</v>
      </c>
      <c r="D33" s="33"/>
      <c r="E33" s="33"/>
      <c r="F33" s="21"/>
      <c r="G33" s="208" t="s">
        <v>49</v>
      </c>
      <c r="H33" s="210">
        <v>576863.53</v>
      </c>
      <c r="I33" s="210">
        <v>309100</v>
      </c>
      <c r="J33" s="210">
        <f>K33-I33</f>
        <v>430100</v>
      </c>
      <c r="K33" s="211">
        <v>739200</v>
      </c>
      <c r="L33" s="187">
        <v>739200</v>
      </c>
      <c r="M33" s="95"/>
      <c r="N33" s="100"/>
      <c r="O33" s="100"/>
      <c r="P33" s="95"/>
      <c r="Q33" s="115"/>
      <c r="S33" s="81"/>
    </row>
    <row r="34" spans="1:19" customHeight="1" ht="14.45" s="40" customFormat="1">
      <c r="C34" s="33" t="s">
        <v>50</v>
      </c>
      <c r="D34" s="33"/>
      <c r="E34" s="33"/>
      <c r="F34" s="21"/>
      <c r="G34" s="208" t="s">
        <v>51</v>
      </c>
      <c r="H34" s="210">
        <v>2042515.51</v>
      </c>
      <c r="I34" s="210">
        <v>1113849.02</v>
      </c>
      <c r="J34" s="210">
        <f>K34-I34</f>
        <v>2779082.98</v>
      </c>
      <c r="K34" s="211">
        <v>3892932</v>
      </c>
      <c r="L34" s="187">
        <v>4630659.57</v>
      </c>
      <c r="M34" s="95"/>
      <c r="N34" s="100"/>
      <c r="O34" s="100"/>
      <c r="P34" s="95"/>
      <c r="Q34" s="115"/>
      <c r="S34" s="81"/>
    </row>
    <row r="35" spans="1:19" customHeight="1" ht="14.45" s="40" customFormat="1">
      <c r="C35" s="33" t="s">
        <v>52</v>
      </c>
      <c r="D35" s="33"/>
      <c r="E35" s="33"/>
      <c r="F35" s="21"/>
      <c r="G35" s="208" t="s">
        <v>53</v>
      </c>
      <c r="H35" s="210">
        <v>575908.01</v>
      </c>
      <c r="I35" s="210">
        <v>308479.67</v>
      </c>
      <c r="J35" s="210">
        <f>K35-I35</f>
        <v>430610.41</v>
      </c>
      <c r="K35" s="211">
        <v>739090.08</v>
      </c>
      <c r="L35" s="187">
        <v>739200</v>
      </c>
      <c r="M35" s="95"/>
      <c r="N35" s="100"/>
      <c r="O35" s="100"/>
      <c r="P35" s="95"/>
      <c r="Q35" s="115"/>
      <c r="S35" s="81"/>
    </row>
    <row r="36" spans="1:19" customHeight="1" ht="14.45" s="40" customFormat="1">
      <c r="C36" s="33" t="s">
        <v>54</v>
      </c>
      <c r="D36" s="33"/>
      <c r="E36" s="33"/>
      <c r="F36" s="21"/>
      <c r="G36" s="208" t="s">
        <v>55</v>
      </c>
      <c r="H36" s="210">
        <v>14786585.72</v>
      </c>
      <c r="I36" s="210">
        <v>17025050.24</v>
      </c>
      <c r="J36" s="210">
        <f>K36-I36</f>
        <v>17974949.76</v>
      </c>
      <c r="K36" s="211">
        <v>35000000</v>
      </c>
      <c r="L36" s="187">
        <v>19084451.2</v>
      </c>
      <c r="M36" s="95"/>
      <c r="N36" s="100"/>
      <c r="O36" s="100"/>
      <c r="P36" s="95"/>
      <c r="Q36" s="115"/>
      <c r="S36" s="81"/>
    </row>
    <row r="37" spans="1:19" customHeight="1" ht="14.45" s="40" customFormat="1">
      <c r="C37" s="33" t="s">
        <v>58</v>
      </c>
      <c r="D37" s="33"/>
      <c r="E37" s="33"/>
      <c r="F37" s="21"/>
      <c r="G37" s="208" t="s">
        <v>59</v>
      </c>
      <c r="H37" s="217">
        <f>12086250+11511433.05</f>
        <v>23597683.05</v>
      </c>
      <c r="I37" s="217">
        <v>3740031.92</v>
      </c>
      <c r="J37" s="217">
        <f>K37-I37</f>
        <v>17259968.08</v>
      </c>
      <c r="K37" s="218">
        <v>21000000</v>
      </c>
      <c r="L37" s="191">
        <v>4000000</v>
      </c>
      <c r="M37" s="95"/>
      <c r="N37" s="100"/>
      <c r="O37" s="100"/>
      <c r="P37" s="95"/>
      <c r="Q37" s="115"/>
      <c r="S37" s="81"/>
    </row>
    <row r="38" spans="1:19" customHeight="1" ht="14.45" s="19" customFormat="1">
      <c r="A38" s="913" t="s">
        <v>61</v>
      </c>
      <c r="B38" s="263"/>
      <c r="C38" s="263"/>
      <c r="D38" s="263"/>
      <c r="E38" s="263"/>
      <c r="F38" s="263"/>
      <c r="G38" s="264"/>
      <c r="H38" s="297">
        <f>SUM(H18:H37)</f>
        <v>279207664.62</v>
      </c>
      <c r="I38" s="297">
        <f>SUM(I18:I37)</f>
        <v>146950445.95</v>
      </c>
      <c r="J38" s="297">
        <f>SUM(J18:J37)</f>
        <v>226649532.68</v>
      </c>
      <c r="K38" s="297">
        <f>SUM(K18:K37)</f>
        <v>373599978.63</v>
      </c>
      <c r="L38" s="298">
        <f>SUM(L18:L37)</f>
        <v>349974733.76</v>
      </c>
      <c r="M38" s="95">
        <f>SUM(L18:L35)</f>
        <v>326890282.56</v>
      </c>
      <c r="N38" s="131"/>
      <c r="O38" s="102"/>
      <c r="P38" s="96"/>
      <c r="Q38" s="117"/>
      <c r="S38" s="84"/>
    </row>
    <row r="39" spans="1:19" customHeight="1" ht="14.1" s="1" customFormat="1">
      <c r="A39" s="59" t="s">
        <v>837</v>
      </c>
      <c r="B39" s="59"/>
      <c r="C39" s="14"/>
      <c r="D39" s="14"/>
      <c r="E39" s="14"/>
      <c r="F39" s="14"/>
      <c r="G39" s="221"/>
      <c r="H39" s="221"/>
      <c r="I39" s="221"/>
      <c r="J39" s="221"/>
      <c r="K39" s="222"/>
      <c r="M39" s="97"/>
      <c r="N39" s="103"/>
      <c r="O39" s="103"/>
      <c r="P39" s="97"/>
      <c r="Q39" s="118"/>
      <c r="S39" s="85"/>
    </row>
    <row r="40" spans="1:19" customHeight="1" ht="14.1" s="40" customFormat="1">
      <c r="C40" s="33" t="s">
        <v>63</v>
      </c>
      <c r="D40" s="33"/>
      <c r="E40" s="33"/>
      <c r="F40" s="21"/>
      <c r="G40" s="223" t="s">
        <v>64</v>
      </c>
      <c r="H40" s="295">
        <v>2835022.99</v>
      </c>
      <c r="I40" s="295">
        <v>2468798.21</v>
      </c>
      <c r="J40" s="295">
        <f>K40-I40</f>
        <v>10383802.79</v>
      </c>
      <c r="K40" s="295">
        <v>12852601</v>
      </c>
      <c r="L40" s="296">
        <v>10560000</v>
      </c>
      <c r="M40" s="95"/>
      <c r="N40" s="104"/>
      <c r="O40" s="104"/>
      <c r="P40" s="95"/>
      <c r="Q40" s="115"/>
      <c r="S40" s="81"/>
    </row>
    <row r="41" spans="1:19" customHeight="1" ht="14.1" s="40" customFormat="1">
      <c r="C41" s="33" t="s">
        <v>72</v>
      </c>
      <c r="D41" s="33"/>
      <c r="E41" s="33"/>
      <c r="F41" s="48"/>
      <c r="G41" s="223" t="s">
        <v>73</v>
      </c>
      <c r="H41" s="230">
        <v>1105080.39</v>
      </c>
      <c r="I41" s="230">
        <v>357830</v>
      </c>
      <c r="J41" s="210">
        <f>K41-I41</f>
        <v>6993270</v>
      </c>
      <c r="K41" s="230">
        <v>7351100</v>
      </c>
      <c r="L41" s="51">
        <v>7655000</v>
      </c>
      <c r="M41" s="95"/>
      <c r="N41" s="104"/>
      <c r="O41" s="104"/>
      <c r="P41" s="95"/>
      <c r="Q41" s="115"/>
      <c r="S41" s="81"/>
    </row>
    <row r="42" spans="1:19" customHeight="1" ht="14.1" s="40" customFormat="1">
      <c r="C42" s="33" t="s">
        <v>76</v>
      </c>
      <c r="D42" s="33"/>
      <c r="E42" s="33"/>
      <c r="F42" s="21"/>
      <c r="G42" s="223" t="s">
        <v>77</v>
      </c>
      <c r="H42" s="230">
        <v>5866502.9</v>
      </c>
      <c r="I42" s="230">
        <v>2400742.94</v>
      </c>
      <c r="J42" s="210">
        <f>K42-I42</f>
        <v>11044257.06</v>
      </c>
      <c r="K42" s="230">
        <v>13445000</v>
      </c>
      <c r="L42" s="72">
        <v>11090000</v>
      </c>
      <c r="M42" s="95"/>
      <c r="N42" s="104"/>
      <c r="O42" s="104"/>
      <c r="P42" s="95"/>
      <c r="Q42" s="115"/>
      <c r="S42" s="81"/>
    </row>
    <row r="43" spans="1:19" customHeight="1" ht="14.1" s="40" customFormat="1">
      <c r="C43" s="33" t="s">
        <v>259</v>
      </c>
      <c r="D43" s="33"/>
      <c r="E43" s="33"/>
      <c r="F43" s="21"/>
      <c r="G43" s="223" t="s">
        <v>260</v>
      </c>
      <c r="H43" s="230">
        <v>2472410</v>
      </c>
      <c r="I43" s="230">
        <v>1052850</v>
      </c>
      <c r="J43" s="210">
        <f>K43-I43</f>
        <v>2947150</v>
      </c>
      <c r="K43" s="230">
        <v>4000000</v>
      </c>
      <c r="L43" s="72">
        <v>3000000</v>
      </c>
      <c r="M43" s="95"/>
      <c r="N43" s="104"/>
      <c r="O43" s="104"/>
      <c r="P43" s="95"/>
      <c r="Q43" s="115"/>
      <c r="S43" s="81"/>
    </row>
    <row r="44" spans="1:19" customHeight="1" ht="14.1" s="40" customFormat="1">
      <c r="C44" s="33" t="s">
        <v>838</v>
      </c>
      <c r="D44" s="33"/>
      <c r="E44" s="33"/>
      <c r="F44" s="21"/>
      <c r="G44" s="223" t="s">
        <v>588</v>
      </c>
      <c r="H44" s="230">
        <v>198680</v>
      </c>
      <c r="I44" s="230">
        <v>49280</v>
      </c>
      <c r="J44" s="210">
        <f>K44-I44</f>
        <v>250720</v>
      </c>
      <c r="K44" s="230">
        <v>300000</v>
      </c>
      <c r="L44" s="72">
        <v>300000</v>
      </c>
      <c r="M44" s="95"/>
      <c r="N44" s="104"/>
      <c r="O44" s="104"/>
      <c r="P44" s="95"/>
      <c r="Q44" s="115"/>
      <c r="S44" s="81"/>
    </row>
    <row r="45" spans="1:19" customHeight="1" ht="14.1" s="40" customFormat="1">
      <c r="C45" s="33" t="s">
        <v>765</v>
      </c>
      <c r="D45" s="33"/>
      <c r="E45" s="33"/>
      <c r="F45" s="21"/>
      <c r="G45" s="223" t="s">
        <v>414</v>
      </c>
      <c r="H45" s="230">
        <v>3232034.45</v>
      </c>
      <c r="I45" s="230">
        <v>9595666.85</v>
      </c>
      <c r="J45" s="210">
        <f>K45-I45</f>
        <v>2404333.15</v>
      </c>
      <c r="K45" s="230">
        <v>12000000</v>
      </c>
      <c r="L45" s="72">
        <v>4000000</v>
      </c>
      <c r="M45" s="95"/>
      <c r="N45" s="104"/>
      <c r="O45" s="104"/>
      <c r="P45" s="95"/>
      <c r="Q45" s="115"/>
      <c r="S45" s="81"/>
    </row>
    <row r="46" spans="1:19" customHeight="1" ht="14.1" s="40" customFormat="1">
      <c r="C46" s="33" t="s">
        <v>839</v>
      </c>
      <c r="D46" s="33"/>
      <c r="E46" s="33"/>
      <c r="F46" s="21"/>
      <c r="G46" s="223" t="s">
        <v>416</v>
      </c>
      <c r="H46" s="230">
        <v>2829123.2</v>
      </c>
      <c r="I46" s="230">
        <v>987415.5</v>
      </c>
      <c r="J46" s="210">
        <f>K46-I46</f>
        <v>1912584.5</v>
      </c>
      <c r="K46" s="230">
        <v>2900000</v>
      </c>
      <c r="L46" s="72">
        <v>2900000</v>
      </c>
      <c r="M46" s="95"/>
      <c r="N46" s="104"/>
      <c r="O46" s="104"/>
      <c r="P46" s="95"/>
      <c r="Q46" s="115"/>
      <c r="S46" s="81"/>
    </row>
    <row r="47" spans="1:19" customHeight="1" ht="14.1" s="40" customFormat="1">
      <c r="C47" s="33" t="s">
        <v>79</v>
      </c>
      <c r="D47" s="33"/>
      <c r="E47" s="33"/>
      <c r="F47" s="21"/>
      <c r="G47" s="223" t="s">
        <v>80</v>
      </c>
      <c r="H47" s="230">
        <v>17030184.72</v>
      </c>
      <c r="I47" s="230">
        <v>10499763.23</v>
      </c>
      <c r="J47" s="210">
        <f>K47-I47</f>
        <v>18028736.77</v>
      </c>
      <c r="K47" s="230">
        <v>28528500</v>
      </c>
      <c r="L47" s="51">
        <v>24875000</v>
      </c>
      <c r="M47" s="95"/>
      <c r="N47" s="104"/>
      <c r="O47" s="104"/>
      <c r="P47" s="95"/>
      <c r="Q47" s="115"/>
      <c r="S47" s="81"/>
    </row>
    <row r="48" spans="1:19" customHeight="1" ht="14.1" s="40" customFormat="1">
      <c r="C48" s="33" t="s">
        <v>681</v>
      </c>
      <c r="D48" s="33"/>
      <c r="E48" s="33"/>
      <c r="F48" s="21"/>
      <c r="G48" s="223" t="s">
        <v>682</v>
      </c>
      <c r="H48" s="230">
        <v>159920</v>
      </c>
      <c r="I48" s="230">
        <v>160000</v>
      </c>
      <c r="J48" s="210">
        <f>K48-I48</f>
        <v>40000</v>
      </c>
      <c r="K48" s="230">
        <v>200000</v>
      </c>
      <c r="L48" s="51">
        <v>150000</v>
      </c>
      <c r="M48" s="95"/>
      <c r="N48" s="104"/>
      <c r="O48" s="104"/>
      <c r="P48" s="95"/>
      <c r="Q48" s="115"/>
      <c r="S48" s="81"/>
    </row>
    <row r="49" spans="1:19" customHeight="1" ht="14.1" s="40" customFormat="1">
      <c r="C49" s="33" t="s">
        <v>840</v>
      </c>
      <c r="D49" s="33"/>
      <c r="E49" s="33"/>
      <c r="F49" s="21"/>
      <c r="G49" s="223" t="s">
        <v>560</v>
      </c>
      <c r="H49" s="230">
        <v>0</v>
      </c>
      <c r="I49" s="230"/>
      <c r="J49" s="210">
        <f>K49-I49</f>
        <v>2000</v>
      </c>
      <c r="K49" s="230">
        <v>2000</v>
      </c>
      <c r="L49" s="51">
        <v>2000</v>
      </c>
      <c r="M49" s="95"/>
      <c r="N49" s="104"/>
      <c r="O49" s="104"/>
      <c r="P49" s="95"/>
      <c r="Q49" s="115"/>
      <c r="S49" s="81"/>
    </row>
    <row r="50" spans="1:19" customHeight="1" ht="14.1" s="40" customFormat="1">
      <c r="C50" s="33" t="s">
        <v>81</v>
      </c>
      <c r="D50" s="33"/>
      <c r="E50" s="33"/>
      <c r="F50" s="21"/>
      <c r="G50" s="208" t="s">
        <v>82</v>
      </c>
      <c r="H50" s="230">
        <v>5599249.58</v>
      </c>
      <c r="I50" s="230">
        <v>3179765.55</v>
      </c>
      <c r="J50" s="210">
        <f>K50-I50</f>
        <v>9588234.45</v>
      </c>
      <c r="K50" s="230">
        <v>12768000</v>
      </c>
      <c r="L50" s="51">
        <v>10025000</v>
      </c>
      <c r="M50" s="139"/>
      <c r="N50" s="104"/>
      <c r="O50" s="104"/>
      <c r="P50" s="95"/>
      <c r="Q50" s="115"/>
      <c r="S50" s="81"/>
    </row>
    <row r="51" spans="1:19" customHeight="1" ht="14.1" s="40" customFormat="1">
      <c r="C51" s="33" t="s">
        <v>83</v>
      </c>
      <c r="D51" s="33"/>
      <c r="E51" s="33"/>
      <c r="F51" s="185"/>
      <c r="G51" s="223" t="s">
        <v>84</v>
      </c>
      <c r="H51" s="230">
        <v>2036990.84</v>
      </c>
      <c r="I51" s="230">
        <v>672278.56</v>
      </c>
      <c r="J51" s="210">
        <f>K51-I51</f>
        <v>6397721.44</v>
      </c>
      <c r="K51" s="230">
        <v>7070000</v>
      </c>
      <c r="L51" s="72">
        <v>5000000</v>
      </c>
      <c r="M51" s="95"/>
      <c r="N51" s="104"/>
      <c r="O51" s="104"/>
      <c r="P51" s="95"/>
      <c r="Q51" s="115"/>
      <c r="S51" s="81"/>
    </row>
    <row r="52" spans="1:19" customHeight="1" ht="14.1" s="40" customFormat="1">
      <c r="C52" s="33" t="s">
        <v>88</v>
      </c>
      <c r="D52" s="33"/>
      <c r="E52" s="33"/>
      <c r="F52" s="51"/>
      <c r="G52" s="223" t="s">
        <v>89</v>
      </c>
      <c r="H52" s="230">
        <v>41603451.85</v>
      </c>
      <c r="I52" s="230">
        <v>11426310.17</v>
      </c>
      <c r="J52" s="210">
        <f>K52-I52</f>
        <v>37345730.25</v>
      </c>
      <c r="K52" s="230">
        <v>48772040.42</v>
      </c>
      <c r="L52" s="51">
        <v>40000000</v>
      </c>
      <c r="M52" s="146"/>
      <c r="N52" s="104"/>
      <c r="O52" s="104"/>
      <c r="P52" s="95"/>
      <c r="Q52" s="115"/>
      <c r="S52" s="81"/>
    </row>
    <row r="53" spans="1:19" customHeight="1" ht="14.1" s="40" customFormat="1">
      <c r="C53" s="33" t="s">
        <v>93</v>
      </c>
      <c r="D53" s="33"/>
      <c r="E53" s="33"/>
      <c r="F53" s="21"/>
      <c r="G53" s="223" t="s">
        <v>94</v>
      </c>
      <c r="H53" s="230">
        <v>11500</v>
      </c>
      <c r="I53" s="230">
        <v>6000</v>
      </c>
      <c r="J53" s="210">
        <f>K53-I53</f>
        <v>37100</v>
      </c>
      <c r="K53" s="230">
        <v>43100</v>
      </c>
      <c r="L53" s="51">
        <v>83500</v>
      </c>
      <c r="M53" s="95"/>
      <c r="N53" s="104"/>
      <c r="O53" s="104"/>
      <c r="P53" s="95"/>
      <c r="Q53" s="115"/>
      <c r="S53" s="81"/>
    </row>
    <row r="54" spans="1:19" customHeight="1" ht="14.1" s="40" customFormat="1">
      <c r="C54" s="33" t="s">
        <v>293</v>
      </c>
      <c r="D54" s="33"/>
      <c r="E54" s="33"/>
      <c r="F54" s="21"/>
      <c r="G54" s="223" t="s">
        <v>96</v>
      </c>
      <c r="H54" s="230">
        <v>2748418.09</v>
      </c>
      <c r="I54" s="230">
        <v>1103743.51</v>
      </c>
      <c r="J54" s="210">
        <f>K54-I54</f>
        <v>3097156.49</v>
      </c>
      <c r="K54" s="230">
        <v>4200900</v>
      </c>
      <c r="L54" s="51">
        <v>3385900</v>
      </c>
      <c r="M54" s="139"/>
      <c r="N54" s="104"/>
      <c r="O54" s="104"/>
      <c r="P54" s="95"/>
      <c r="Q54" s="115"/>
      <c r="S54" s="81"/>
    </row>
    <row r="55" spans="1:19" customHeight="1" ht="14.1" s="40" customFormat="1">
      <c r="C55" s="33" t="s">
        <v>97</v>
      </c>
      <c r="D55" s="33"/>
      <c r="E55" s="33"/>
      <c r="F55" s="56"/>
      <c r="G55" s="223" t="s">
        <v>98</v>
      </c>
      <c r="H55" s="230">
        <v>374336.41</v>
      </c>
      <c r="I55" s="230">
        <v>144804.51</v>
      </c>
      <c r="J55" s="210">
        <f>K55-I55</f>
        <v>1115195.49</v>
      </c>
      <c r="K55" s="230">
        <v>1260000</v>
      </c>
      <c r="L55" s="72">
        <v>1060000</v>
      </c>
      <c r="M55" s="95"/>
      <c r="N55" s="104"/>
      <c r="O55" s="104"/>
      <c r="P55" s="95"/>
      <c r="Q55" s="115"/>
      <c r="S55" s="81"/>
    </row>
    <row r="56" spans="1:19" customHeight="1" ht="14.1" s="40" customFormat="1">
      <c r="C56" s="33" t="s">
        <v>841</v>
      </c>
      <c r="D56" s="33"/>
      <c r="E56" s="33"/>
      <c r="F56" s="56"/>
      <c r="G56" s="223" t="s">
        <v>424</v>
      </c>
      <c r="H56" s="230">
        <v>10119.88</v>
      </c>
      <c r="I56" s="230">
        <v>0</v>
      </c>
      <c r="J56" s="210">
        <f>K56-I56</f>
        <v>55000</v>
      </c>
      <c r="K56" s="230">
        <v>55000</v>
      </c>
      <c r="L56" s="72">
        <v>55000</v>
      </c>
      <c r="M56" s="95"/>
      <c r="N56" s="104"/>
      <c r="O56" s="104"/>
      <c r="P56" s="95"/>
      <c r="Q56" s="115"/>
      <c r="S56" s="81"/>
    </row>
    <row r="57" spans="1:19" customHeight="1" ht="14.1" s="40" customFormat="1">
      <c r="C57" s="33" t="s">
        <v>842</v>
      </c>
      <c r="D57" s="33"/>
      <c r="E57" s="33"/>
      <c r="F57" s="56"/>
      <c r="G57" s="223" t="s">
        <v>307</v>
      </c>
      <c r="H57" s="230">
        <v>20000</v>
      </c>
      <c r="I57" s="230">
        <v>0</v>
      </c>
      <c r="J57" s="210">
        <f>K57-I57</f>
        <v>100000</v>
      </c>
      <c r="K57" s="230">
        <v>100000</v>
      </c>
      <c r="L57" s="72">
        <v>100000</v>
      </c>
      <c r="M57" s="95"/>
      <c r="N57" s="104"/>
      <c r="O57" s="104"/>
      <c r="P57" s="95"/>
      <c r="Q57" s="115"/>
      <c r="S57" s="81"/>
    </row>
    <row r="58" spans="1:19" customHeight="1" ht="14.1" s="40" customFormat="1">
      <c r="C58" s="33" t="s">
        <v>843</v>
      </c>
      <c r="D58" s="33"/>
      <c r="E58" s="33"/>
      <c r="F58" s="33"/>
      <c r="G58" s="208" t="s">
        <v>100</v>
      </c>
      <c r="H58" s="230">
        <v>1013801.5</v>
      </c>
      <c r="I58" s="230">
        <v>167860</v>
      </c>
      <c r="J58" s="210">
        <f>K58-I58</f>
        <v>2226140</v>
      </c>
      <c r="K58" s="230">
        <v>2394000</v>
      </c>
      <c r="L58" s="72">
        <v>1882000</v>
      </c>
      <c r="M58" s="95"/>
      <c r="N58" s="104"/>
      <c r="O58" s="104"/>
      <c r="P58" s="95"/>
      <c r="Q58" s="115"/>
      <c r="S58" s="81"/>
    </row>
    <row r="59" spans="1:19" customHeight="1" ht="14.1" s="40" customFormat="1">
      <c r="C59" s="33" t="s">
        <v>832</v>
      </c>
      <c r="D59" s="33"/>
      <c r="E59" s="33"/>
      <c r="F59" s="33"/>
      <c r="G59" s="208" t="s">
        <v>102</v>
      </c>
      <c r="H59" s="230">
        <v>4095659.57</v>
      </c>
      <c r="I59" s="230">
        <v>2473497.58</v>
      </c>
      <c r="J59" s="210">
        <f>K59-I59</f>
        <v>9875332.42</v>
      </c>
      <c r="K59" s="230">
        <v>12348830</v>
      </c>
      <c r="L59" s="51">
        <v>9435000</v>
      </c>
      <c r="M59" s="95"/>
      <c r="N59" s="104"/>
      <c r="O59" s="104"/>
      <c r="P59" s="95"/>
      <c r="Q59" s="115"/>
      <c r="S59" s="81"/>
    </row>
    <row r="60" spans="1:19" customHeight="1" ht="14.1" s="40" customFormat="1">
      <c r="C60" s="33" t="s">
        <v>844</v>
      </c>
      <c r="D60" s="33"/>
      <c r="E60" s="33"/>
      <c r="F60" s="33"/>
      <c r="G60" s="208" t="s">
        <v>429</v>
      </c>
      <c r="H60" s="230">
        <v>65920</v>
      </c>
      <c r="I60" s="230">
        <v>12100</v>
      </c>
      <c r="J60" s="210">
        <f>K60-I60</f>
        <v>387900</v>
      </c>
      <c r="K60" s="230">
        <v>400000</v>
      </c>
      <c r="L60" s="51">
        <v>350000</v>
      </c>
      <c r="M60" s="95"/>
      <c r="N60" s="104"/>
      <c r="O60" s="104"/>
      <c r="P60" s="95"/>
      <c r="Q60" s="115"/>
      <c r="S60" s="81"/>
    </row>
    <row r="61" spans="1:19" customHeight="1" ht="14.1" s="2" customFormat="1">
      <c r="C61" s="33" t="s">
        <v>106</v>
      </c>
      <c r="D61" s="29"/>
      <c r="E61" s="9"/>
      <c r="F61" s="36"/>
      <c r="G61" s="213" t="s">
        <v>107</v>
      </c>
      <c r="H61" s="292">
        <v>3210334.94</v>
      </c>
      <c r="I61" s="292">
        <v>1791785.33</v>
      </c>
      <c r="J61" s="217">
        <f>K61-I61</f>
        <v>2738214.67</v>
      </c>
      <c r="K61" s="292">
        <v>4530000</v>
      </c>
      <c r="L61" s="1401">
        <v>4530000</v>
      </c>
      <c r="M61" s="95"/>
      <c r="N61" s="101"/>
      <c r="O61" s="101"/>
      <c r="P61" s="95"/>
      <c r="Q61" s="116"/>
      <c r="S61" s="81"/>
    </row>
    <row r="62" spans="1:19" customHeight="1" ht="14.1" s="40" customFormat="1">
      <c r="A62" s="913" t="s">
        <v>75</v>
      </c>
      <c r="B62" s="161"/>
      <c r="C62" s="162"/>
      <c r="D62" s="163"/>
      <c r="E62" s="163"/>
      <c r="F62" s="164"/>
      <c r="G62" s="227"/>
      <c r="H62" s="312">
        <f>SUM(H40:H61)</f>
        <v>96518741.31</v>
      </c>
      <c r="I62" s="312">
        <f>SUM(I40:I61)</f>
        <v>48550491.94</v>
      </c>
      <c r="J62" s="312">
        <f>SUM(J40:J61)</f>
        <v>126970579.48</v>
      </c>
      <c r="K62" s="312">
        <f>SUM(K40:K61)</f>
        <v>175521071.42</v>
      </c>
      <c r="L62" s="313">
        <f>SUM(L40:L61)</f>
        <v>140438400</v>
      </c>
      <c r="M62" s="95"/>
      <c r="N62" s="104"/>
      <c r="O62" s="104"/>
      <c r="P62" s="95"/>
      <c r="Q62" s="115"/>
      <c r="S62" s="81"/>
    </row>
    <row r="63" spans="1:19" customHeight="1" ht="15" s="22" customFormat="1">
      <c r="A63" s="59" t="s">
        <v>837</v>
      </c>
      <c r="B63" s="21"/>
      <c r="C63" s="21"/>
      <c r="D63" s="21"/>
      <c r="E63" s="21"/>
      <c r="F63" s="21"/>
      <c r="G63" s="181"/>
      <c r="H63" s="181"/>
      <c r="I63" s="181"/>
      <c r="J63" s="181"/>
      <c r="K63" s="181"/>
      <c r="L63" s="193"/>
      <c r="M63" s="93"/>
      <c r="N63" s="33"/>
      <c r="O63" s="33"/>
      <c r="P63" s="93"/>
      <c r="Q63" s="113"/>
      <c r="S63" s="82"/>
    </row>
    <row r="64" spans="1:19" customHeight="1" ht="15" s="42" customFormat="1">
      <c r="C64" s="33" t="s">
        <v>117</v>
      </c>
      <c r="D64" s="33"/>
      <c r="E64" s="52"/>
      <c r="F64" s="39"/>
      <c r="G64" s="208" t="s">
        <v>118</v>
      </c>
      <c r="H64" s="295">
        <v>2368000</v>
      </c>
      <c r="I64" s="295">
        <v>50000</v>
      </c>
      <c r="J64" s="295">
        <f>K64-I64</f>
        <v>2590000</v>
      </c>
      <c r="K64" s="295">
        <v>2640000</v>
      </c>
      <c r="L64" s="296">
        <v>0</v>
      </c>
      <c r="M64" s="93"/>
      <c r="P64" s="93"/>
      <c r="Q64" s="121"/>
      <c r="S64" s="88"/>
    </row>
    <row r="65" spans="1:19" customHeight="1" ht="15" s="54" customFormat="1">
      <c r="C65" s="33" t="s">
        <v>119</v>
      </c>
      <c r="D65" s="33"/>
      <c r="E65" s="52"/>
      <c r="F65" s="53"/>
      <c r="G65" s="208" t="s">
        <v>120</v>
      </c>
      <c r="H65" s="240">
        <v>171500</v>
      </c>
      <c r="I65" s="240">
        <v>33279.06</v>
      </c>
      <c r="J65" s="210">
        <f>K65-I65</f>
        <v>166720.94</v>
      </c>
      <c r="K65" s="240">
        <v>200000</v>
      </c>
      <c r="L65" s="74">
        <v>180000</v>
      </c>
      <c r="M65" s="97"/>
      <c r="N65" s="106"/>
      <c r="O65" s="106"/>
      <c r="P65" s="97"/>
      <c r="Q65" s="122"/>
      <c r="S65" s="85"/>
    </row>
    <row r="66" spans="1:19" customHeight="1" ht="15" s="40" customFormat="1">
      <c r="C66" s="33" t="s">
        <v>122</v>
      </c>
      <c r="D66" s="33"/>
      <c r="E66" s="33"/>
      <c r="F66" s="21"/>
      <c r="G66" s="208" t="s">
        <v>123</v>
      </c>
      <c r="H66" s="240">
        <v>117508.32</v>
      </c>
      <c r="I66" s="240">
        <v>86471.8</v>
      </c>
      <c r="J66" s="210">
        <f>K66-I66</f>
        <v>585278.2</v>
      </c>
      <c r="K66" s="240">
        <v>671750</v>
      </c>
      <c r="L66" s="74">
        <v>571750</v>
      </c>
      <c r="M66" s="95"/>
      <c r="N66" s="100"/>
      <c r="O66" s="100"/>
      <c r="P66" s="95"/>
      <c r="Q66" s="115"/>
      <c r="S66" s="81"/>
    </row>
    <row r="67" spans="1:19" customHeight="1" ht="15" s="40" customFormat="1">
      <c r="C67" s="33" t="s">
        <v>124</v>
      </c>
      <c r="D67" s="33"/>
      <c r="E67" s="33"/>
      <c r="F67" s="21"/>
      <c r="G67" s="223" t="s">
        <v>125</v>
      </c>
      <c r="H67" s="240">
        <v>184258.5</v>
      </c>
      <c r="I67" s="240">
        <v>259131.25</v>
      </c>
      <c r="J67" s="210">
        <f>K67-I67</f>
        <v>107868.75</v>
      </c>
      <c r="K67" s="240">
        <v>367000</v>
      </c>
      <c r="L67" s="74">
        <v>348000</v>
      </c>
      <c r="M67" s="95"/>
      <c r="N67" s="100"/>
      <c r="O67" s="100"/>
      <c r="P67" s="95"/>
      <c r="Q67" s="115"/>
      <c r="S67" s="81"/>
    </row>
    <row r="68" spans="1:19" customHeight="1" ht="15" s="40" customFormat="1">
      <c r="C68" s="33" t="s">
        <v>126</v>
      </c>
      <c r="D68" s="33"/>
      <c r="E68" s="33"/>
      <c r="F68" s="21"/>
      <c r="G68" s="223" t="s">
        <v>127</v>
      </c>
      <c r="H68" s="240">
        <v>3215380.36</v>
      </c>
      <c r="I68" s="240">
        <v>317459.16</v>
      </c>
      <c r="J68" s="210">
        <f>K68-I68</f>
        <v>4682540.84</v>
      </c>
      <c r="K68" s="240">
        <v>5000000</v>
      </c>
      <c r="L68" s="74">
        <v>2500000</v>
      </c>
      <c r="M68" s="95"/>
      <c r="N68" s="100"/>
      <c r="O68" s="100"/>
      <c r="P68" s="95"/>
      <c r="Q68" s="115"/>
      <c r="S68" s="81"/>
    </row>
    <row r="69" spans="1:19" customHeight="1" ht="15" s="40" customFormat="1">
      <c r="C69" s="33" t="s">
        <v>129</v>
      </c>
      <c r="D69" s="33"/>
      <c r="E69" s="33"/>
      <c r="F69" s="33"/>
      <c r="G69" s="208" t="s">
        <v>130</v>
      </c>
      <c r="H69" s="230">
        <v>593240</v>
      </c>
      <c r="I69" s="230">
        <v>136000</v>
      </c>
      <c r="J69" s="210">
        <f>K69-I69</f>
        <v>1874000</v>
      </c>
      <c r="K69" s="230">
        <v>2010000</v>
      </c>
      <c r="L69" s="72">
        <v>2095000</v>
      </c>
      <c r="M69" s="95"/>
      <c r="N69" s="100"/>
      <c r="O69" s="100"/>
      <c r="P69" s="95"/>
      <c r="Q69" s="115"/>
      <c r="S69" s="81"/>
    </row>
    <row r="70" spans="1:19" customHeight="1" ht="15" s="40" customFormat="1">
      <c r="C70" s="33" t="s">
        <v>845</v>
      </c>
      <c r="D70" s="33"/>
      <c r="E70" s="33"/>
      <c r="F70" s="33"/>
      <c r="G70" s="208" t="s">
        <v>242</v>
      </c>
      <c r="H70" s="230">
        <v>548171</v>
      </c>
      <c r="I70" s="230">
        <v>14650</v>
      </c>
      <c r="J70" s="210">
        <f>K70-I70</f>
        <v>870350</v>
      </c>
      <c r="K70" s="230">
        <v>885000</v>
      </c>
      <c r="L70" s="72">
        <v>735000</v>
      </c>
      <c r="M70" s="95"/>
      <c r="N70" s="100"/>
      <c r="O70" s="100"/>
      <c r="P70" s="95"/>
      <c r="Q70" s="115"/>
      <c r="S70" s="81"/>
    </row>
    <row r="71" spans="1:19" customHeight="1" ht="15" s="40" customFormat="1">
      <c r="C71" s="33" t="s">
        <v>132</v>
      </c>
      <c r="D71" s="33"/>
      <c r="E71" s="33"/>
      <c r="F71" s="33"/>
      <c r="G71" s="208" t="s">
        <v>133</v>
      </c>
      <c r="H71" s="230">
        <v>4090350</v>
      </c>
      <c r="I71" s="230">
        <v>3388575</v>
      </c>
      <c r="J71" s="210">
        <f>K71-I71</f>
        <v>7019075</v>
      </c>
      <c r="K71" s="230">
        <v>10407650</v>
      </c>
      <c r="L71" s="72">
        <v>6000000</v>
      </c>
      <c r="M71" s="95"/>
      <c r="N71" s="100"/>
      <c r="O71" s="100"/>
      <c r="P71" s="95"/>
      <c r="Q71" s="115"/>
      <c r="S71" s="81"/>
    </row>
    <row r="72" spans="1:19" customHeight="1" ht="15" s="40" customFormat="1">
      <c r="C72" s="33" t="s">
        <v>350</v>
      </c>
      <c r="D72" s="33"/>
      <c r="E72" s="33"/>
      <c r="F72" s="33"/>
      <c r="G72" s="208" t="s">
        <v>351</v>
      </c>
      <c r="H72" s="230">
        <v>0</v>
      </c>
      <c r="I72" s="230">
        <v>0</v>
      </c>
      <c r="J72" s="210">
        <f>K72-I72</f>
        <v>42000</v>
      </c>
      <c r="K72" s="230">
        <v>42000</v>
      </c>
      <c r="L72" s="72">
        <v>20000</v>
      </c>
      <c r="M72" s="95"/>
      <c r="N72" s="100"/>
      <c r="O72" s="100"/>
      <c r="P72" s="95"/>
      <c r="Q72" s="115"/>
      <c r="S72" s="81"/>
    </row>
    <row r="73" spans="1:19" customHeight="1" ht="15" s="40" customFormat="1">
      <c r="C73" s="33" t="s">
        <v>134</v>
      </c>
      <c r="D73" s="33"/>
      <c r="E73" s="33"/>
      <c r="F73" s="21"/>
      <c r="G73" s="223" t="s">
        <v>135</v>
      </c>
      <c r="H73" s="230">
        <v>352000</v>
      </c>
      <c r="I73" s="230">
        <v>58000</v>
      </c>
      <c r="J73" s="210">
        <f>K73-I73</f>
        <v>1227000</v>
      </c>
      <c r="K73" s="230">
        <v>1285000</v>
      </c>
      <c r="L73" s="72">
        <v>1285000</v>
      </c>
      <c r="M73" s="95"/>
      <c r="N73" s="100"/>
      <c r="O73" s="100"/>
      <c r="P73" s="95"/>
      <c r="Q73" s="115"/>
      <c r="S73" s="81"/>
    </row>
    <row r="74" spans="1:19" customHeight="1" ht="15" s="40" customFormat="1">
      <c r="C74" s="33" t="s">
        <v>140</v>
      </c>
      <c r="D74" s="33"/>
      <c r="E74" s="33"/>
      <c r="F74" s="44"/>
      <c r="G74" s="208" t="s">
        <v>141</v>
      </c>
      <c r="H74" s="230">
        <v>7728325.8</v>
      </c>
      <c r="I74" s="230">
        <v>4616508.2</v>
      </c>
      <c r="J74" s="210">
        <f>K74-I74</f>
        <v>7278491.8</v>
      </c>
      <c r="K74" s="240">
        <v>11895000</v>
      </c>
      <c r="L74" s="74">
        <v>6725000</v>
      </c>
      <c r="M74" s="95"/>
      <c r="N74" s="100"/>
      <c r="O74" s="100"/>
      <c r="P74" s="95"/>
      <c r="Q74" s="115"/>
      <c r="S74" s="81"/>
    </row>
    <row r="75" spans="1:19" customHeight="1" ht="15" s="40" customFormat="1">
      <c r="C75" s="42" t="s">
        <v>142</v>
      </c>
      <c r="D75" s="42"/>
      <c r="E75" s="33"/>
      <c r="F75" s="44"/>
      <c r="G75" s="223" t="s">
        <v>143</v>
      </c>
      <c r="H75" s="240">
        <v>19922994.01</v>
      </c>
      <c r="I75" s="240">
        <v>8956472.24</v>
      </c>
      <c r="J75" s="210">
        <f>K75-I75</f>
        <v>51170877.76</v>
      </c>
      <c r="K75" s="240">
        <v>60127350</v>
      </c>
      <c r="L75" s="74">
        <v>46782440</v>
      </c>
      <c r="M75" s="95"/>
      <c r="N75" s="100"/>
      <c r="O75" s="100"/>
      <c r="P75" s="95"/>
      <c r="Q75" s="115"/>
      <c r="S75" s="81"/>
    </row>
    <row r="76" spans="1:19" customHeight="1" ht="15" s="40" customFormat="1">
      <c r="C76" s="42" t="s">
        <v>150</v>
      </c>
      <c r="D76" s="42"/>
      <c r="E76" s="33"/>
      <c r="F76" s="44"/>
      <c r="G76" s="223" t="s">
        <v>107</v>
      </c>
      <c r="H76" s="240">
        <v>235680609.63</v>
      </c>
      <c r="I76" s="240">
        <v>94981320</v>
      </c>
      <c r="J76" s="210">
        <f>K76-I76</f>
        <v>89388079</v>
      </c>
      <c r="K76" s="240">
        <v>184369399</v>
      </c>
      <c r="L76" s="74">
        <v>121420244.07</v>
      </c>
      <c r="M76" s="95"/>
      <c r="N76" s="100"/>
      <c r="O76" s="100"/>
      <c r="P76" s="95"/>
      <c r="Q76" s="115"/>
      <c r="S76" s="81"/>
    </row>
    <row r="77" spans="1:19" customHeight="1" ht="15" s="40" customFormat="1">
      <c r="C77" s="42" t="s">
        <v>846</v>
      </c>
      <c r="D77" s="42"/>
      <c r="E77" s="33"/>
      <c r="F77" s="44"/>
      <c r="G77" s="223" t="s">
        <v>672</v>
      </c>
      <c r="H77" s="240">
        <v>14716498.36</v>
      </c>
      <c r="I77" s="240">
        <v>5002328.73</v>
      </c>
      <c r="J77" s="210">
        <f>K77-I77</f>
        <v>7897671.27</v>
      </c>
      <c r="K77" s="240">
        <v>12900000</v>
      </c>
      <c r="L77" s="74">
        <v>10500000</v>
      </c>
      <c r="M77" s="95"/>
      <c r="N77" s="100"/>
      <c r="O77" s="100"/>
      <c r="P77" s="95"/>
      <c r="Q77" s="115"/>
      <c r="S77" s="81"/>
    </row>
    <row r="78" spans="1:19" customHeight="1" ht="15" s="40" customFormat="1">
      <c r="C78" s="42" t="s">
        <v>353</v>
      </c>
      <c r="D78" s="42"/>
      <c r="E78" s="33"/>
      <c r="F78" s="44"/>
      <c r="G78" s="223" t="s">
        <v>157</v>
      </c>
      <c r="H78" s="1402">
        <v>13889005.83</v>
      </c>
      <c r="I78" s="1402">
        <v>5063413.02</v>
      </c>
      <c r="J78" s="217">
        <f>K78-I78</f>
        <v>5702186.98</v>
      </c>
      <c r="K78" s="1402">
        <v>10765600</v>
      </c>
      <c r="L78" s="1403">
        <v>8450000</v>
      </c>
      <c r="M78" s="95"/>
      <c r="N78" s="100"/>
      <c r="O78" s="100"/>
      <c r="P78" s="95"/>
      <c r="Q78" s="115"/>
      <c r="S78" s="81"/>
    </row>
    <row r="79" spans="1:19" customHeight="1" ht="15" s="65" customFormat="1">
      <c r="A79" s="956" t="s">
        <v>75</v>
      </c>
      <c r="B79" s="18"/>
      <c r="C79" s="61"/>
      <c r="D79" s="62"/>
      <c r="E79" s="63"/>
      <c r="F79" s="64"/>
      <c r="G79" s="232"/>
      <c r="H79" s="299">
        <f>SUM(H64:H78)</f>
        <v>303577841.81</v>
      </c>
      <c r="I79" s="299">
        <f>SUM(I64:I78)</f>
        <v>122963608.46</v>
      </c>
      <c r="J79" s="299">
        <f>SUM(J64:J78)</f>
        <v>180602140.54</v>
      </c>
      <c r="K79" s="299">
        <f>SUM(K64:K78)</f>
        <v>303565749</v>
      </c>
      <c r="L79" s="300">
        <f>SUM(L64:L78)</f>
        <v>207612434.07</v>
      </c>
      <c r="M79" s="128"/>
      <c r="N79" s="136"/>
      <c r="O79" s="109"/>
      <c r="P79" s="128"/>
      <c r="Q79" s="143"/>
      <c r="R79" s="138"/>
      <c r="S79" s="84"/>
    </row>
    <row r="80" spans="1:19" customHeight="1" ht="15" s="10" customFormat="1">
      <c r="A80" s="956" t="s">
        <v>160</v>
      </c>
      <c r="B80" s="18"/>
      <c r="C80" s="28"/>
      <c r="D80" s="29"/>
      <c r="E80" s="27"/>
      <c r="F80" s="46"/>
      <c r="G80" s="238"/>
      <c r="H80" s="299">
        <f>H79+H62</f>
        <v>400096583.12</v>
      </c>
      <c r="I80" s="299">
        <f>I79+I62</f>
        <v>171514100.4</v>
      </c>
      <c r="J80" s="299">
        <f>J79+J62</f>
        <v>307572720.02</v>
      </c>
      <c r="K80" s="299">
        <f>K79+K62</f>
        <v>479086820.42</v>
      </c>
      <c r="L80" s="300">
        <f>L79+L62</f>
        <v>348050834.07</v>
      </c>
      <c r="M80" s="129"/>
      <c r="N80" s="134"/>
      <c r="O80" s="79"/>
      <c r="P80" s="129"/>
      <c r="Q80" s="142"/>
      <c r="R80" s="135"/>
      <c r="S80" s="89"/>
    </row>
    <row r="81" spans="1:19" customHeight="1" ht="15" s="10" customFormat="1">
      <c r="A81" s="6"/>
      <c r="B81" s="6"/>
      <c r="C81" s="6"/>
      <c r="D81" s="6"/>
      <c r="E81" s="6"/>
      <c r="F81" s="6"/>
      <c r="G81" s="243"/>
      <c r="H81" s="226"/>
      <c r="I81" s="226"/>
      <c r="J81" s="226"/>
      <c r="K81" s="226"/>
      <c r="L81" s="80"/>
      <c r="M81" s="129"/>
      <c r="N81" s="135"/>
      <c r="O81" s="79"/>
      <c r="P81" s="129"/>
      <c r="Q81" s="142"/>
      <c r="R81" s="135"/>
      <c r="S81" s="89"/>
    </row>
    <row r="82" spans="1:19" customHeight="1" ht="15" s="3" customFormat="1">
      <c r="A82" s="58" t="s">
        <v>847</v>
      </c>
      <c r="B82" s="58"/>
      <c r="C82" s="24"/>
      <c r="D82" s="14"/>
      <c r="E82" s="14"/>
      <c r="F82" s="14"/>
      <c r="G82" s="244"/>
      <c r="H82" s="245"/>
      <c r="I82" s="245"/>
      <c r="J82" s="245"/>
      <c r="K82" s="231"/>
      <c r="L82" s="23"/>
      <c r="M82" s="130"/>
      <c r="N82" s="141"/>
      <c r="O82" s="110"/>
      <c r="P82" s="130"/>
      <c r="Q82" s="144"/>
      <c r="R82" s="137"/>
      <c r="S82" s="90"/>
    </row>
    <row r="83" spans="1:19" customHeight="1" ht="15" s="10" customFormat="1">
      <c r="A83" s="956" t="s">
        <v>848</v>
      </c>
      <c r="B83" s="18"/>
      <c r="C83" s="28"/>
      <c r="D83" s="29"/>
      <c r="E83" s="27"/>
      <c r="F83" s="46"/>
      <c r="G83" s="238"/>
      <c r="H83" s="299">
        <f>68418456.29</f>
        <v>68418456.29</v>
      </c>
      <c r="I83" s="299">
        <v>28802824.11</v>
      </c>
      <c r="J83" s="299">
        <f>K83-I83</f>
        <v>70752175.89</v>
      </c>
      <c r="K83" s="299">
        <f>89805000+2400000+250000+600000+5000000+900000+600000</f>
        <v>99555000</v>
      </c>
      <c r="L83" s="300">
        <v>134025560</v>
      </c>
      <c r="M83" s="129"/>
      <c r="N83" s="134"/>
      <c r="O83" s="79"/>
      <c r="P83" s="129"/>
      <c r="Q83" s="142"/>
      <c r="R83" s="135"/>
      <c r="S83" s="89"/>
    </row>
    <row r="84" spans="1:19" customHeight="1" ht="15" s="10" customFormat="1">
      <c r="A84" s="543" t="s">
        <v>161</v>
      </c>
      <c r="B84" s="543"/>
      <c r="C84" s="543"/>
      <c r="D84" s="543"/>
      <c r="E84" s="543"/>
      <c r="F84" s="543"/>
      <c r="G84" s="545"/>
      <c r="H84" s="312">
        <f>H83+H80+H38</f>
        <v>747722704.03</v>
      </c>
      <c r="I84" s="312">
        <f>I83+I80+I38</f>
        <v>347267370.46</v>
      </c>
      <c r="J84" s="312">
        <f>J83+J80+J38</f>
        <v>604974428.59</v>
      </c>
      <c r="K84" s="312">
        <f>K83+K80+K38</f>
        <v>952241799.05</v>
      </c>
      <c r="L84" s="313">
        <f>L83+L80+L38</f>
        <v>832051127.83</v>
      </c>
      <c r="M84" s="129"/>
      <c r="N84" s="134"/>
      <c r="O84" s="79"/>
      <c r="P84" s="129"/>
      <c r="Q84" s="142"/>
      <c r="R84" s="135"/>
      <c r="S84" s="89"/>
    </row>
    <row r="85" spans="1:19" customHeight="1" ht="14.1" s="3" customFormat="1">
      <c r="A85" s="58" t="s">
        <v>849</v>
      </c>
      <c r="B85" s="58"/>
      <c r="C85" s="24"/>
      <c r="D85" s="14"/>
      <c r="E85" s="14"/>
      <c r="F85" s="14"/>
      <c r="G85" s="244"/>
      <c r="H85" s="245"/>
      <c r="I85" s="245"/>
      <c r="J85" s="245"/>
      <c r="K85" s="231"/>
      <c r="L85" s="23"/>
      <c r="M85" s="130"/>
      <c r="N85" s="141"/>
      <c r="O85" s="110"/>
      <c r="P85" s="130"/>
      <c r="Q85" s="144"/>
      <c r="R85" s="137"/>
      <c r="S85" s="90"/>
    </row>
    <row r="86" spans="1:19" customHeight="1" ht="14.1" s="3" customFormat="1">
      <c r="A86" s="24"/>
      <c r="B86" s="24"/>
      <c r="C86" s="9" t="s">
        <v>163</v>
      </c>
      <c r="D86" s="14"/>
      <c r="E86" s="14"/>
      <c r="F86" s="14"/>
      <c r="G86" s="213" t="s">
        <v>164</v>
      </c>
      <c r="H86" s="305">
        <v>1269034</v>
      </c>
      <c r="I86" s="305">
        <v>719854</v>
      </c>
      <c r="J86" s="295">
        <f>K86-I86</f>
        <v>3508146</v>
      </c>
      <c r="K86" s="254">
        <v>4228000</v>
      </c>
      <c r="L86" s="306">
        <v>855000</v>
      </c>
      <c r="M86" s="134"/>
      <c r="N86" s="134"/>
      <c r="O86" s="110"/>
      <c r="P86" s="130"/>
      <c r="Q86" s="144"/>
      <c r="R86" s="137"/>
      <c r="S86" s="90"/>
    </row>
    <row r="87" spans="1:19" customHeight="1" ht="14.1" s="2" customFormat="1">
      <c r="C87" s="9" t="s">
        <v>166</v>
      </c>
      <c r="D87" s="15"/>
      <c r="E87" s="15"/>
      <c r="F87" s="15"/>
      <c r="G87" s="213" t="s">
        <v>167</v>
      </c>
      <c r="H87" s="247">
        <v>1090053</v>
      </c>
      <c r="I87" s="257">
        <v>980658</v>
      </c>
      <c r="J87" s="210">
        <f>K87-I87</f>
        <v>8055597.31</v>
      </c>
      <c r="K87" s="248">
        <v>9036255.31</v>
      </c>
      <c r="L87" s="197">
        <v>1215000</v>
      </c>
      <c r="M87" s="134"/>
      <c r="N87" s="134"/>
      <c r="O87" s="101"/>
      <c r="P87" s="95"/>
      <c r="Q87" s="116"/>
      <c r="S87" s="81"/>
    </row>
    <row r="88" spans="1:19" customHeight="1" ht="14.1" s="2" customFormat="1">
      <c r="C88" s="9" t="s">
        <v>356</v>
      </c>
      <c r="D88" s="15"/>
      <c r="E88" s="15"/>
      <c r="F88" s="15"/>
      <c r="G88" s="213" t="s">
        <v>357</v>
      </c>
      <c r="H88" s="247">
        <v>116272000</v>
      </c>
      <c r="I88" s="257">
        <v>0</v>
      </c>
      <c r="J88" s="210">
        <f>K88-I88</f>
        <v>0</v>
      </c>
      <c r="K88" s="248">
        <v>0</v>
      </c>
      <c r="L88" s="197">
        <v>0</v>
      </c>
      <c r="M88" s="134"/>
      <c r="N88" s="134"/>
      <c r="O88" s="101"/>
      <c r="P88" s="95"/>
      <c r="Q88" s="116"/>
      <c r="S88" s="81"/>
    </row>
    <row r="89" spans="1:19" customHeight="1" ht="14.1" s="2" customFormat="1">
      <c r="C89" s="9" t="s">
        <v>249</v>
      </c>
      <c r="D89" s="15"/>
      <c r="E89" s="15"/>
      <c r="F89" s="15"/>
      <c r="G89" s="213" t="s">
        <v>250</v>
      </c>
      <c r="H89" s="247">
        <v>0</v>
      </c>
      <c r="I89" s="257">
        <v>0</v>
      </c>
      <c r="J89" s="210">
        <f>K89-I89</f>
        <v>1500000</v>
      </c>
      <c r="K89" s="248">
        <v>1500000</v>
      </c>
      <c r="L89" s="197">
        <v>50000</v>
      </c>
      <c r="M89" s="134"/>
      <c r="N89" s="134"/>
      <c r="O89" s="101"/>
      <c r="P89" s="95"/>
      <c r="Q89" s="116"/>
      <c r="S89" s="81"/>
    </row>
    <row r="90" spans="1:19" customHeight="1" ht="14.1" s="2" customFormat="1">
      <c r="C90" s="9" t="s">
        <v>434</v>
      </c>
      <c r="D90" s="15"/>
      <c r="E90" s="15"/>
      <c r="F90" s="15"/>
      <c r="G90" s="213" t="s">
        <v>314</v>
      </c>
      <c r="H90" s="247">
        <v>0</v>
      </c>
      <c r="I90" s="257">
        <v>0</v>
      </c>
      <c r="J90" s="210">
        <f>K90-I90</f>
        <v>250000</v>
      </c>
      <c r="K90" s="248">
        <v>250000</v>
      </c>
      <c r="L90" s="197">
        <v>0</v>
      </c>
      <c r="M90" s="134"/>
      <c r="N90" s="134"/>
      <c r="O90" s="101"/>
      <c r="P90" s="95"/>
      <c r="Q90" s="116"/>
      <c r="S90" s="81"/>
    </row>
    <row r="91" spans="1:19" customHeight="1" ht="14.1" s="2" customFormat="1">
      <c r="C91" s="9" t="s">
        <v>168</v>
      </c>
      <c r="D91" s="26"/>
      <c r="E91" s="15"/>
      <c r="F91" s="15"/>
      <c r="G91" s="213" t="s">
        <v>169</v>
      </c>
      <c r="H91" s="249">
        <v>1199500</v>
      </c>
      <c r="I91" s="257">
        <v>0</v>
      </c>
      <c r="J91" s="210">
        <f>K91-I91</f>
        <v>3300000</v>
      </c>
      <c r="K91" s="250">
        <v>3300000</v>
      </c>
      <c r="L91" s="198">
        <v>4000000</v>
      </c>
      <c r="M91" s="95"/>
      <c r="N91" s="101"/>
      <c r="O91" s="101"/>
      <c r="P91" s="95"/>
      <c r="Q91" s="116"/>
      <c r="S91" s="81"/>
    </row>
    <row r="92" spans="1:19" customHeight="1" ht="14.1" s="2" customFormat="1">
      <c r="C92" s="9" t="s">
        <v>274</v>
      </c>
      <c r="D92" s="26"/>
      <c r="E92" s="15"/>
      <c r="F92" s="15"/>
      <c r="G92" s="213" t="s">
        <v>275</v>
      </c>
      <c r="H92" s="249">
        <v>0</v>
      </c>
      <c r="I92" s="257">
        <v>0</v>
      </c>
      <c r="J92" s="210">
        <f>K92-I92</f>
        <v>500000</v>
      </c>
      <c r="K92" s="250">
        <v>500000</v>
      </c>
      <c r="L92" s="198">
        <v>0</v>
      </c>
      <c r="M92" s="95"/>
      <c r="N92" s="101"/>
      <c r="O92" s="101"/>
      <c r="P92" s="95"/>
      <c r="Q92" s="116"/>
      <c r="S92" s="81"/>
    </row>
    <row r="93" spans="1:19" customHeight="1" ht="14.1" s="2" customFormat="1">
      <c r="C93" s="9" t="s">
        <v>170</v>
      </c>
      <c r="D93" s="26"/>
      <c r="E93" s="15"/>
      <c r="F93" s="15"/>
      <c r="G93" s="213" t="s">
        <v>171</v>
      </c>
      <c r="H93" s="251">
        <v>613379</v>
      </c>
      <c r="I93" s="292">
        <v>69354</v>
      </c>
      <c r="J93" s="217">
        <f>K93-I93</f>
        <v>2959646</v>
      </c>
      <c r="K93" s="252">
        <v>3029000</v>
      </c>
      <c r="L93" s="199">
        <v>1520000</v>
      </c>
      <c r="M93" s="95"/>
      <c r="N93" s="101"/>
      <c r="O93" s="101"/>
      <c r="P93" s="95"/>
      <c r="Q93" s="116"/>
      <c r="S93" s="81"/>
    </row>
    <row r="94" spans="1:19" customHeight="1" ht="14.1" s="4" customFormat="1">
      <c r="A94" s="6" t="s">
        <v>172</v>
      </c>
      <c r="B94" s="6"/>
      <c r="C94" s="6"/>
      <c r="D94" s="6"/>
      <c r="E94" s="6"/>
      <c r="F94" s="6"/>
      <c r="G94" s="253"/>
      <c r="H94" s="299">
        <f>SUM(H86:H93)</f>
        <v>120443966</v>
      </c>
      <c r="I94" s="299">
        <f>SUM(I86:I93)</f>
        <v>1769866</v>
      </c>
      <c r="J94" s="299">
        <f>SUM(J86:J93)</f>
        <v>20073389.31</v>
      </c>
      <c r="K94" s="299">
        <f>SUM(K86:K93)</f>
        <v>21843255.31</v>
      </c>
      <c r="L94" s="300">
        <f>SUM(L86:L93)</f>
        <v>7640000</v>
      </c>
      <c r="M94" s="93"/>
      <c r="N94" s="9"/>
      <c r="O94" s="9"/>
      <c r="P94" s="93"/>
      <c r="Q94" s="112"/>
      <c r="S94" s="91"/>
    </row>
    <row r="95" spans="1:19" customHeight="1" ht="14.1" s="4" customFormat="1">
      <c r="A95" s="6"/>
      <c r="B95" s="6"/>
      <c r="C95" s="6"/>
      <c r="D95" s="6"/>
      <c r="E95" s="6"/>
      <c r="F95" s="6"/>
      <c r="G95" s="253"/>
      <c r="H95" s="299"/>
      <c r="I95" s="299"/>
      <c r="J95" s="299"/>
      <c r="K95" s="299"/>
      <c r="L95" s="309"/>
      <c r="M95" s="93"/>
      <c r="N95" s="9"/>
      <c r="O95" s="9"/>
      <c r="P95" s="93"/>
      <c r="Q95" s="112"/>
      <c r="S95" s="91"/>
    </row>
    <row r="96" spans="1:19" customHeight="1" ht="14.1" s="3" customFormat="1">
      <c r="A96" s="58" t="s">
        <v>850</v>
      </c>
      <c r="B96" s="58"/>
      <c r="C96" s="24"/>
      <c r="D96" s="14"/>
      <c r="E96" s="14"/>
      <c r="F96" s="14"/>
      <c r="G96" s="244"/>
      <c r="H96" s="245"/>
      <c r="I96" s="245"/>
      <c r="J96" s="245"/>
      <c r="K96" s="231"/>
      <c r="L96" s="23"/>
      <c r="M96" s="130"/>
      <c r="N96" s="141"/>
      <c r="O96" s="110"/>
      <c r="P96" s="130"/>
      <c r="Q96" s="144"/>
      <c r="R96" s="137"/>
      <c r="S96" s="90"/>
    </row>
    <row r="97" spans="1:19" customHeight="1" ht="14.1" s="3" customFormat="1">
      <c r="A97" s="24"/>
      <c r="B97" s="24"/>
      <c r="C97" s="9" t="s">
        <v>851</v>
      </c>
      <c r="D97" s="14"/>
      <c r="E97" s="14"/>
      <c r="F97" s="14"/>
      <c r="G97" s="213"/>
      <c r="H97" s="1404">
        <v>513340.95</v>
      </c>
      <c r="I97" s="1404">
        <v>2778579.84</v>
      </c>
      <c r="J97" s="295">
        <f>K97-I97</f>
        <v>516722288.16</v>
      </c>
      <c r="K97" s="360">
        <v>519500868</v>
      </c>
      <c r="L97" s="362">
        <v>0</v>
      </c>
      <c r="M97" s="134"/>
      <c r="N97" s="134"/>
      <c r="O97" s="110"/>
      <c r="P97" s="130"/>
      <c r="Q97" s="144"/>
      <c r="R97" s="137"/>
      <c r="S97" s="90"/>
    </row>
    <row r="98" spans="1:19" customHeight="1" ht="14.1" s="4" customFormat="1">
      <c r="A98" s="6" t="s">
        <v>852</v>
      </c>
      <c r="B98" s="6"/>
      <c r="C98" s="6"/>
      <c r="D98" s="6"/>
      <c r="E98" s="6"/>
      <c r="F98" s="6"/>
      <c r="G98" s="253"/>
      <c r="H98" s="299">
        <f>SUM(H97:H97)</f>
        <v>513340.95</v>
      </c>
      <c r="I98" s="299">
        <f>SUM(I97:I97)</f>
        <v>2778579.84</v>
      </c>
      <c r="J98" s="299">
        <f>SUM(J97:J97)</f>
        <v>516722288.16</v>
      </c>
      <c r="K98" s="299">
        <f>SUM(K97:K97)</f>
        <v>519500868</v>
      </c>
      <c r="L98" s="300">
        <f>SUM(L97:L97)</f>
        <v>0</v>
      </c>
      <c r="M98" s="93"/>
      <c r="N98" s="9"/>
      <c r="O98" s="9"/>
      <c r="P98" s="93"/>
      <c r="Q98" s="112"/>
      <c r="S98" s="91"/>
    </row>
    <row r="99" spans="1:19" customHeight="1" ht="14.1" s="4" customFormat="1">
      <c r="A99" s="6"/>
      <c r="B99" s="6"/>
      <c r="C99" s="6"/>
      <c r="D99" s="6"/>
      <c r="E99" s="6"/>
      <c r="F99" s="6"/>
      <c r="G99" s="253"/>
      <c r="H99" s="299"/>
      <c r="I99" s="299"/>
      <c r="J99" s="299"/>
      <c r="K99" s="299"/>
      <c r="L99" s="309"/>
      <c r="M99" s="93"/>
      <c r="N99" s="9"/>
      <c r="O99" s="9"/>
      <c r="P99" s="93"/>
      <c r="Q99" s="112"/>
      <c r="S99" s="91"/>
    </row>
    <row r="100" spans="1:19" customHeight="1" ht="14.1" s="3" customFormat="1">
      <c r="A100" s="58" t="s">
        <v>853</v>
      </c>
      <c r="B100" s="58"/>
      <c r="C100" s="24"/>
      <c r="D100" s="14"/>
      <c r="E100" s="14"/>
      <c r="F100" s="14"/>
      <c r="G100" s="244"/>
      <c r="H100" s="245"/>
      <c r="I100" s="245"/>
      <c r="J100" s="245"/>
      <c r="K100" s="231"/>
      <c r="L100" s="23"/>
      <c r="M100" s="130"/>
      <c r="N100" s="141"/>
      <c r="O100" s="110"/>
      <c r="P100" s="130"/>
      <c r="Q100" s="144"/>
      <c r="R100" s="137"/>
      <c r="S100" s="90"/>
    </row>
    <row r="101" spans="1:19" customHeight="1" ht="14.1" s="3" customFormat="1">
      <c r="A101" s="24"/>
      <c r="B101" s="24"/>
      <c r="C101" s="9" t="s">
        <v>854</v>
      </c>
      <c r="D101" s="14"/>
      <c r="E101" s="14"/>
      <c r="F101" s="14"/>
      <c r="G101" s="213"/>
      <c r="H101" s="1404">
        <v>0</v>
      </c>
      <c r="I101" s="1404">
        <v>14502813.91</v>
      </c>
      <c r="J101" s="295">
        <f>K101-I101</f>
        <v>63272116.09</v>
      </c>
      <c r="K101" s="360">
        <v>77774930</v>
      </c>
      <c r="L101" s="362">
        <v>54048930</v>
      </c>
      <c r="M101" s="134"/>
      <c r="N101" s="134"/>
      <c r="O101" s="110"/>
      <c r="P101" s="130"/>
      <c r="Q101" s="144"/>
      <c r="R101" s="137"/>
      <c r="S101" s="90"/>
    </row>
    <row r="102" spans="1:19" customHeight="1" ht="14.1" s="4" customFormat="1">
      <c r="A102" s="6" t="s">
        <v>852</v>
      </c>
      <c r="B102" s="6"/>
      <c r="C102" s="6"/>
      <c r="D102" s="6"/>
      <c r="E102" s="6"/>
      <c r="F102" s="6"/>
      <c r="G102" s="253"/>
      <c r="H102" s="299">
        <f>SUM(H101:H101)</f>
        <v>0</v>
      </c>
      <c r="I102" s="299">
        <f>SUM(I101:I101)</f>
        <v>14502813.91</v>
      </c>
      <c r="J102" s="299">
        <f>SUM(J101:J101)</f>
        <v>63272116.09</v>
      </c>
      <c r="K102" s="299">
        <f>SUM(K101:K101)</f>
        <v>77774930</v>
      </c>
      <c r="L102" s="300">
        <f>SUM(L101:L101)</f>
        <v>54048930</v>
      </c>
      <c r="M102" s="93"/>
      <c r="N102" s="9"/>
      <c r="O102" s="9"/>
      <c r="P102" s="93"/>
      <c r="Q102" s="112"/>
      <c r="S102" s="91"/>
    </row>
    <row r="103" spans="1:19" customHeight="1" ht="14.1" s="4" customFormat="1">
      <c r="A103" s="6"/>
      <c r="B103" s="6"/>
      <c r="C103" s="6"/>
      <c r="D103" s="6"/>
      <c r="E103" s="6"/>
      <c r="F103" s="6"/>
      <c r="G103" s="253"/>
      <c r="H103" s="299"/>
      <c r="I103" s="299"/>
      <c r="J103" s="299"/>
      <c r="K103" s="299"/>
      <c r="L103" s="309"/>
      <c r="M103" s="93"/>
      <c r="N103" s="9"/>
      <c r="O103" s="9"/>
      <c r="P103" s="93"/>
      <c r="Q103" s="112"/>
      <c r="S103" s="91"/>
    </row>
    <row r="104" spans="1:19" customHeight="1" ht="14.1" s="3" customFormat="1">
      <c r="A104" s="58" t="s">
        <v>855</v>
      </c>
      <c r="B104" s="58"/>
      <c r="C104" s="24"/>
      <c r="D104" s="14"/>
      <c r="E104" s="14"/>
      <c r="F104" s="14"/>
      <c r="G104" s="244"/>
      <c r="H104" s="245"/>
      <c r="I104" s="245"/>
      <c r="J104" s="245"/>
      <c r="K104" s="231"/>
      <c r="L104" s="23"/>
      <c r="M104" s="130"/>
      <c r="N104" s="141"/>
      <c r="O104" s="110"/>
      <c r="P104" s="130"/>
      <c r="Q104" s="144"/>
      <c r="R104" s="137"/>
      <c r="S104" s="90"/>
    </row>
    <row r="105" spans="1:19" customHeight="1" ht="14.1" s="3" customFormat="1">
      <c r="A105" s="24"/>
      <c r="B105" s="24"/>
      <c r="C105" s="9" t="s">
        <v>856</v>
      </c>
      <c r="D105" s="14"/>
      <c r="E105" s="14"/>
      <c r="F105" s="14"/>
      <c r="G105" s="213"/>
      <c r="H105" s="305">
        <v>85768534.89</v>
      </c>
      <c r="I105" s="305">
        <f>37676369.46-7312475.87</f>
        <v>30363893.59</v>
      </c>
      <c r="J105" s="295">
        <f>K105-I105</f>
        <v>142485760.66</v>
      </c>
      <c r="K105" s="254">
        <v>172849654.25</v>
      </c>
      <c r="L105" s="306">
        <v>128162881.06</v>
      </c>
      <c r="M105" s="134"/>
      <c r="N105" s="134"/>
      <c r="O105" s="110"/>
      <c r="P105" s="130"/>
      <c r="Q105" s="144"/>
      <c r="R105" s="137"/>
      <c r="S105" s="90"/>
    </row>
    <row r="106" spans="1:19" customHeight="1" ht="14.1" s="3" customFormat="1">
      <c r="A106" s="24"/>
      <c r="B106" s="24"/>
      <c r="C106" s="9" t="s">
        <v>857</v>
      </c>
      <c r="D106" s="14"/>
      <c r="E106" s="14"/>
      <c r="F106" s="14"/>
      <c r="G106" s="213"/>
      <c r="H106" s="293">
        <v>27746419.65</v>
      </c>
      <c r="I106" s="293">
        <v>7903447.92</v>
      </c>
      <c r="J106" s="230">
        <f>K106-I106</f>
        <v>57706331.3</v>
      </c>
      <c r="K106" s="257">
        <v>65609779.22</v>
      </c>
      <c r="L106" s="1405">
        <v>57480357.55</v>
      </c>
      <c r="M106" s="134"/>
      <c r="N106" s="134"/>
      <c r="O106" s="110"/>
      <c r="P106" s="130"/>
      <c r="Q106" s="144"/>
      <c r="R106" s="137"/>
      <c r="S106" s="90"/>
    </row>
    <row r="107" spans="1:19" customHeight="1" ht="14.1" s="3" customFormat="1">
      <c r="A107" s="24"/>
      <c r="B107" s="24"/>
      <c r="C107" s="9" t="s">
        <v>858</v>
      </c>
      <c r="D107" s="14"/>
      <c r="E107" s="14"/>
      <c r="F107" s="14"/>
      <c r="G107" s="213"/>
      <c r="H107" s="1406">
        <v>3942000</v>
      </c>
      <c r="I107" s="1406">
        <v>0</v>
      </c>
      <c r="J107" s="284">
        <f>K107-I107</f>
        <v>3942000</v>
      </c>
      <c r="K107" s="292">
        <v>3942000</v>
      </c>
      <c r="L107" s="335">
        <v>3942000</v>
      </c>
      <c r="M107" s="134"/>
      <c r="N107" s="134"/>
      <c r="O107" s="110"/>
      <c r="P107" s="130"/>
      <c r="Q107" s="144"/>
      <c r="R107" s="137"/>
      <c r="S107" s="90"/>
    </row>
    <row r="108" spans="1:19" customHeight="1" ht="14.1" s="4" customFormat="1">
      <c r="A108" s="543" t="s">
        <v>859</v>
      </c>
      <c r="B108" s="543"/>
      <c r="C108" s="543"/>
      <c r="D108" s="543"/>
      <c r="E108" s="543"/>
      <c r="F108" s="543"/>
      <c r="G108" s="622"/>
      <c r="H108" s="312">
        <f>SUM(H105:H107)</f>
        <v>117456954.54</v>
      </c>
      <c r="I108" s="312">
        <f>SUM(I105:I107)</f>
        <v>38267341.51</v>
      </c>
      <c r="J108" s="312">
        <f>SUM(J105:J107)</f>
        <v>204134091.96</v>
      </c>
      <c r="K108" s="312">
        <f>SUM(K105:K107)</f>
        <v>242401433.47</v>
      </c>
      <c r="L108" s="313">
        <f>SUM(L105:L107)</f>
        <v>189585238.61</v>
      </c>
      <c r="M108" s="93"/>
      <c r="N108" s="9"/>
      <c r="O108" s="9"/>
      <c r="P108" s="93"/>
      <c r="Q108" s="112"/>
      <c r="S108" s="91"/>
    </row>
    <row r="109" spans="1:19" customHeight="1" ht="10.5" s="4" customFormat="1">
      <c r="A109" s="6"/>
      <c r="B109" s="6"/>
      <c r="C109" s="6"/>
      <c r="D109" s="6"/>
      <c r="E109" s="6"/>
      <c r="F109" s="6"/>
      <c r="G109" s="253"/>
      <c r="H109" s="299"/>
      <c r="I109" s="299"/>
      <c r="J109" s="299"/>
      <c r="K109" s="299"/>
      <c r="L109" s="309"/>
      <c r="M109" s="93"/>
      <c r="N109" s="9"/>
      <c r="O109" s="9"/>
      <c r="P109" s="93"/>
      <c r="Q109" s="112"/>
      <c r="S109" s="91"/>
    </row>
    <row r="110" spans="1:19" customHeight="1" ht="17.1" s="4" customFormat="1">
      <c r="A110" s="58" t="s">
        <v>860</v>
      </c>
      <c r="B110" s="6"/>
      <c r="C110" s="6"/>
      <c r="D110" s="6"/>
      <c r="E110" s="6"/>
      <c r="F110" s="6"/>
      <c r="G110" s="253"/>
      <c r="H110" s="226"/>
      <c r="I110" s="226"/>
      <c r="J110" s="226"/>
      <c r="K110" s="226"/>
      <c r="L110" s="80"/>
      <c r="M110" s="93"/>
      <c r="N110" s="9"/>
      <c r="O110" s="9"/>
      <c r="P110" s="93"/>
      <c r="Q110" s="112"/>
      <c r="S110" s="91"/>
    </row>
    <row r="111" spans="1:19" customHeight="1" ht="17.1" s="3" customFormat="1">
      <c r="A111" s="24"/>
      <c r="B111" s="24"/>
      <c r="C111" s="9" t="s">
        <v>861</v>
      </c>
      <c r="D111" s="14"/>
      <c r="E111" s="14"/>
      <c r="F111" s="14"/>
      <c r="G111" s="213"/>
      <c r="H111" s="305">
        <v>1503150.23</v>
      </c>
      <c r="I111" s="305">
        <v>1950593.73</v>
      </c>
      <c r="J111" s="295">
        <f>K111-I111</f>
        <v>5834517.44</v>
      </c>
      <c r="K111" s="254">
        <v>7785111.17</v>
      </c>
      <c r="L111" s="306">
        <v>8474669.42</v>
      </c>
      <c r="M111" s="134"/>
      <c r="N111" s="134"/>
      <c r="O111" s="110"/>
      <c r="P111" s="130"/>
      <c r="Q111" s="144"/>
      <c r="R111" s="137"/>
      <c r="S111" s="90"/>
    </row>
    <row r="112" spans="1:19" customHeight="1" ht="17.1" s="3" customFormat="1">
      <c r="A112" s="24"/>
      <c r="B112" s="24"/>
      <c r="C112" s="9" t="s">
        <v>856</v>
      </c>
      <c r="D112" s="14"/>
      <c r="E112" s="14"/>
      <c r="F112" s="14"/>
      <c r="G112" s="213"/>
      <c r="H112" s="1406">
        <v>17828701.84</v>
      </c>
      <c r="I112" s="1406">
        <v>7312475.87</v>
      </c>
      <c r="J112" s="284">
        <f>K112-I112</f>
        <v>48961966.88</v>
      </c>
      <c r="K112" s="292">
        <v>56274442.75</v>
      </c>
      <c r="L112" s="335">
        <v>67807185.14</v>
      </c>
      <c r="M112" s="134"/>
      <c r="N112" s="134"/>
      <c r="O112" s="110"/>
      <c r="P112" s="130"/>
      <c r="Q112" s="144"/>
      <c r="R112" s="137"/>
      <c r="S112" s="90"/>
    </row>
    <row r="113" spans="1:19" customHeight="1" ht="17.1" s="4" customFormat="1">
      <c r="A113" s="6" t="s">
        <v>862</v>
      </c>
      <c r="B113" s="6"/>
      <c r="C113" s="6"/>
      <c r="D113" s="6"/>
      <c r="E113" s="6"/>
      <c r="F113" s="6"/>
      <c r="G113" s="253"/>
      <c r="H113" s="299">
        <f>SUM(H111:H112)</f>
        <v>19331852.07</v>
      </c>
      <c r="I113" s="299">
        <f>SUM(I111:I112)</f>
        <v>9263069.6</v>
      </c>
      <c r="J113" s="299">
        <f>SUM(J111:J112)</f>
        <v>54796484.32</v>
      </c>
      <c r="K113" s="299">
        <f>SUM(K111:K112)</f>
        <v>64059553.92</v>
      </c>
      <c r="L113" s="309">
        <f>SUM(L111:L112)</f>
        <v>76281854.56</v>
      </c>
      <c r="M113" s="93"/>
      <c r="N113" s="9"/>
      <c r="O113" s="9"/>
      <c r="P113" s="93"/>
      <c r="Q113" s="112"/>
      <c r="S113" s="91"/>
    </row>
    <row r="114" spans="1:19" customHeight="1" ht="17.1" s="4" customFormat="1">
      <c r="A114" s="6"/>
      <c r="B114" s="6"/>
      <c r="C114" s="68"/>
      <c r="D114" s="6"/>
      <c r="E114" s="6"/>
      <c r="F114" s="6"/>
      <c r="G114" s="253"/>
      <c r="H114" s="226"/>
      <c r="I114" s="226"/>
      <c r="J114" s="226"/>
      <c r="K114" s="226"/>
      <c r="L114" s="80"/>
      <c r="M114" s="93"/>
      <c r="N114" s="9"/>
      <c r="O114" s="9"/>
      <c r="P114" s="93"/>
      <c r="Q114" s="112"/>
      <c r="S114" s="91"/>
    </row>
    <row r="115" spans="1:19" customHeight="1" ht="17.1" s="4" customFormat="1">
      <c r="A115" s="6" t="s">
        <v>181</v>
      </c>
      <c r="B115" s="6"/>
      <c r="C115" s="6"/>
      <c r="D115" s="6"/>
      <c r="E115" s="6"/>
      <c r="F115" s="6"/>
      <c r="G115" s="253"/>
      <c r="H115" s="310">
        <f>H113+H108+H102+H98+H94+H84</f>
        <v>1005468817.59</v>
      </c>
      <c r="I115" s="310">
        <f>I113+I108+I102+I98+I94+I84</f>
        <v>413849041.32</v>
      </c>
      <c r="J115" s="310">
        <f>J113+J108+J102+J98+J94+J84</f>
        <v>1463972798.43</v>
      </c>
      <c r="K115" s="310">
        <f>K113+K108+K102+K98+K94+K84</f>
        <v>1877821839.75</v>
      </c>
      <c r="L115" s="311">
        <f>L113+L108+L102+L98+L94+L84</f>
        <v>1159607151</v>
      </c>
      <c r="M115" s="93"/>
      <c r="N115" s="77"/>
      <c r="O115" s="77"/>
      <c r="P115" s="93"/>
      <c r="Q115" s="112"/>
      <c r="S115" s="91"/>
    </row>
    <row r="116" spans="1:19" customHeight="1" ht="17.1" s="9" customFormat="1">
      <c r="A116" s="73"/>
      <c r="B116" s="73"/>
      <c r="C116" s="73"/>
      <c r="D116" s="73"/>
      <c r="E116" s="73"/>
      <c r="F116" s="73"/>
      <c r="G116" s="261"/>
      <c r="H116" s="261"/>
      <c r="I116" s="261"/>
      <c r="J116" s="261"/>
      <c r="K116" s="262"/>
      <c r="L116" s="203"/>
      <c r="M116" s="93"/>
      <c r="P116" s="93"/>
      <c r="Q116" s="125"/>
      <c r="S116" s="88"/>
    </row>
    <row r="117" spans="1:19" customHeight="1" ht="9.95" s="273" customFormat="1">
      <c r="A117" s="6"/>
      <c r="B117" s="6"/>
      <c r="G117" s="274"/>
      <c r="H117" s="274"/>
    </row>
    <row r="118" spans="1:19" customHeight="1" ht="18" s="9" customFormat="1">
      <c r="A118" s="9" t="s">
        <v>182</v>
      </c>
      <c r="I118" s="275"/>
      <c r="J118" s="275"/>
      <c r="K118" s="275"/>
      <c r="L118" s="275"/>
    </row>
    <row r="119" spans="1:19" customHeight="1" ht="30" s="9" customFormat="1">
      <c r="G119" s="276"/>
      <c r="H119" s="276"/>
      <c r="I119" s="276"/>
      <c r="J119" s="276"/>
      <c r="K119" s="276"/>
      <c r="L119" s="276"/>
    </row>
    <row r="120" spans="1:19" customHeight="1" ht="18" s="11" customFormat="1">
      <c r="A120" s="1489"/>
      <c r="B120" s="1489"/>
      <c r="C120" s="1489"/>
      <c r="D120" s="1489"/>
      <c r="E120" s="388"/>
      <c r="F120" s="1489"/>
      <c r="G120" s="1489"/>
      <c r="H120" s="388"/>
      <c r="I120" s="1489"/>
      <c r="J120" s="1489"/>
      <c r="K120" s="1489"/>
      <c r="L120" s="1489"/>
    </row>
    <row r="121" spans="1:19" customHeight="1" ht="12" s="11" customFormat="1">
      <c r="A121" s="1468"/>
      <c r="B121" s="1468"/>
      <c r="C121" s="1468"/>
      <c r="D121" s="1468"/>
      <c r="E121" s="9"/>
      <c r="F121" s="9"/>
      <c r="G121" s="9"/>
      <c r="H121" s="9"/>
      <c r="I121" s="1468"/>
      <c r="J121" s="1468"/>
      <c r="K121" s="1507"/>
      <c r="L121" s="1507"/>
    </row>
    <row r="122" spans="1:19" customHeight="1" ht="12" s="9" customFormat="1">
      <c r="A122" s="1468"/>
      <c r="B122" s="1468"/>
      <c r="C122" s="1468"/>
      <c r="D122" s="1468"/>
      <c r="F122" s="1468"/>
      <c r="G122" s="1468"/>
      <c r="J122" s="1468"/>
      <c r="K122" s="1468"/>
      <c r="L122" s="1468"/>
    </row>
    <row r="123" spans="1:19" customHeight="1" ht="20.1" s="9" customFormat="1">
      <c r="A123" s="7"/>
      <c r="B123" s="7"/>
      <c r="F123" s="7"/>
      <c r="G123" s="8"/>
      <c r="H123" s="147"/>
      <c r="I123" s="147"/>
      <c r="J123" s="147"/>
      <c r="L123" s="66"/>
      <c r="M123" s="148"/>
      <c r="P123" s="148"/>
      <c r="Q123" s="149"/>
      <c r="S123" s="150"/>
    </row>
    <row r="124" spans="1:19" customHeight="1" ht="12" s="9" customFormat="1">
      <c r="A124" s="1512" t="s">
        <v>863</v>
      </c>
      <c r="B124" s="1512"/>
      <c r="C124" s="1512"/>
      <c r="D124" s="1512"/>
      <c r="E124" s="1512"/>
      <c r="F124" s="1468"/>
      <c r="G124" s="1468"/>
      <c r="H124" s="1468"/>
      <c r="I124" s="1468"/>
      <c r="J124" s="1468"/>
      <c r="K124" s="1468"/>
      <c r="L124" s="1468"/>
    </row>
    <row r="125" spans="1:19" customHeight="1" ht="30" s="9" customFormat="1">
      <c r="G125" s="276"/>
      <c r="H125" s="276"/>
      <c r="I125" s="276"/>
      <c r="J125" s="276"/>
      <c r="K125" s="276"/>
      <c r="L125" s="276"/>
    </row>
    <row r="126" spans="1:19" customHeight="1" ht="18" s="11" customFormat="1">
      <c r="A126" s="1489" t="s">
        <v>186</v>
      </c>
      <c r="B126" s="1489"/>
      <c r="C126" s="1489"/>
      <c r="D126" s="1489"/>
      <c r="E126" s="1489"/>
      <c r="F126" s="1489"/>
      <c r="G126" s="1489"/>
      <c r="H126" s="1489"/>
      <c r="I126" s="1489"/>
      <c r="J126" s="1489"/>
      <c r="K126" s="1489"/>
      <c r="L126" s="1489"/>
    </row>
    <row r="127" spans="1:19" customHeight="1" ht="12" s="11" customFormat="1">
      <c r="A127" s="1468" t="s">
        <v>188</v>
      </c>
      <c r="B127" s="1468"/>
      <c r="C127" s="1468"/>
      <c r="D127" s="1468"/>
      <c r="E127" s="1468"/>
      <c r="F127" s="1468"/>
      <c r="G127" s="1468"/>
      <c r="H127" s="1468"/>
      <c r="I127" s="1468"/>
      <c r="J127" s="1468"/>
      <c r="K127" s="1468"/>
      <c r="L127" s="1468"/>
    </row>
    <row r="129" spans="1:19">
      <c r="G129" s="9" t="s">
        <v>191</v>
      </c>
      <c r="I129" s="77">
        <v>26593763.59</v>
      </c>
      <c r="J129" s="77"/>
      <c r="K129" s="386">
        <v>89805000</v>
      </c>
      <c r="L129" s="386">
        <v>90065000</v>
      </c>
    </row>
    <row r="130" spans="1:19">
      <c r="G130" s="9" t="s">
        <v>192</v>
      </c>
      <c r="I130" s="77">
        <v>0</v>
      </c>
      <c r="J130" s="77"/>
      <c r="K130" s="386">
        <v>3942000</v>
      </c>
      <c r="L130" s="386">
        <v>3942000</v>
      </c>
    </row>
    <row r="131" spans="1:19">
      <c r="G131" s="9" t="s">
        <v>193</v>
      </c>
      <c r="I131" s="77">
        <v>0</v>
      </c>
      <c r="J131" s="77"/>
      <c r="K131" s="386">
        <f>200000+60000</f>
        <v>260000</v>
      </c>
    </row>
    <row r="132" spans="1:19">
      <c r="I132" s="77">
        <f>I129+I130+I131+I115</f>
        <v>440442804.91</v>
      </c>
      <c r="J132" s="77">
        <f>J129+J130+J131+J115</f>
        <v>1463972798.43</v>
      </c>
      <c r="K132" s="77">
        <f>K129+K130+K131+K115</f>
        <v>1971828839.75</v>
      </c>
      <c r="L132" s="77">
        <f>L130+L129+K115</f>
        <v>1971828839.75</v>
      </c>
    </row>
    <row r="135" spans="1:19">
      <c r="K135" s="386">
        <v>317593274.63</v>
      </c>
    </row>
    <row r="137" spans="1:19">
      <c r="K137" s="386">
        <f>K135+K131+K130</f>
        <v>321795274.63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7:E127"/>
    <mergeCell ref="F127:I127"/>
    <mergeCell ref="J127:L127"/>
    <mergeCell ref="A124:E124"/>
    <mergeCell ref="F124:I124"/>
    <mergeCell ref="J124:L124"/>
    <mergeCell ref="A126:E126"/>
    <mergeCell ref="F126:I126"/>
    <mergeCell ref="J126:L126"/>
    <mergeCell ref="A121:D121"/>
    <mergeCell ref="I121:J121"/>
    <mergeCell ref="K121:L121"/>
    <mergeCell ref="A122:D122"/>
    <mergeCell ref="F122:G122"/>
    <mergeCell ref="J122:L122"/>
    <mergeCell ref="A15:F15"/>
    <mergeCell ref="A120:D120"/>
    <mergeCell ref="F120:G120"/>
    <mergeCell ref="I120:J120"/>
    <mergeCell ref="K120:L120"/>
    <mergeCell ref="A5:L5"/>
    <mergeCell ref="A6:J6"/>
    <mergeCell ref="A11:F14"/>
    <mergeCell ref="G11:G14"/>
    <mergeCell ref="H11:H14"/>
    <mergeCell ref="I11:K12"/>
    <mergeCell ref="L11:L14"/>
    <mergeCell ref="I13:I14"/>
    <mergeCell ref="J13:J14"/>
    <mergeCell ref="K13:K14"/>
  </mergeCells>
  <printOptions gridLines="false" gridLinesSet="true"/>
  <pageMargins left="0.6" right="0.5" top="0.5" bottom="0.5" header="0.17" footer="0.2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87"/>
  <sheetViews>
    <sheetView tabSelected="0" workbookViewId="0" view="pageBreakPreview" showGridLines="false" showRowColHeaders="1">
      <selection activeCell="A124" sqref="A124:IV124"/>
    </sheetView>
  </sheetViews>
  <sheetFormatPr defaultRowHeight="14.4" outlineLevelRow="0" outlineLevelCol="0"/>
  <cols>
    <col min="1" max="1" width="3.5703125" customWidth="true" style="9"/>
    <col min="2" max="2" width="3.5703125" customWidth="true" style="9"/>
    <col min="3" max="3" width="8.140625" customWidth="true" style="9"/>
    <col min="4" max="4" width="17" customWidth="true" style="9"/>
    <col min="5" max="5" width="10.7109375" customWidth="true" style="9"/>
    <col min="6" max="6" width="14.7109375" customWidth="true" style="7"/>
    <col min="7" max="7" width="12.7109375" customWidth="true" style="9"/>
    <col min="8" max="8" width="16.7109375" customWidth="true" style="9"/>
    <col min="9" max="9" width="16.7109375" customWidth="true" style="9"/>
    <col min="10" max="10" width="16.7109375" customWidth="true" style="9"/>
    <col min="11" max="11" width="16.7109375" customWidth="true" style="11"/>
    <col min="12" max="12" width="16.7109375" customWidth="true" style="11"/>
    <col min="13" max="13" width="16.7109375" hidden="true" customWidth="true" style="11"/>
    <col min="14" max="14" width="15.7109375" hidden="true" customWidth="true" style="93"/>
    <col min="15" max="15" width="15" hidden="true" customWidth="true" style="9"/>
    <col min="16" max="16" width="13.85546875" hidden="true" customWidth="true" style="9"/>
    <col min="17" max="17" width="14.5703125" hidden="true" customWidth="true" style="93"/>
    <col min="18" max="18" width="15.7109375" hidden="true" customWidth="true" style="126"/>
    <col min="19" max="19" width="16.140625" hidden="true" customWidth="true" style="0"/>
    <col min="20" max="20" width="15.7109375" hidden="true" customWidth="true" style="346"/>
    <col min="21" max="21" width="15.7109375" hidden="true" customWidth="true" style="386"/>
    <col min="22" max="22" width="0" hidden="true" customWidth="true" style="0"/>
  </cols>
  <sheetData>
    <row r="1" spans="1:22" customHeight="1" ht="9.95" s="173" customFormat="1">
      <c r="A1" s="173" t="s">
        <v>833</v>
      </c>
      <c r="J1" s="174"/>
      <c r="L1" s="175"/>
      <c r="M1" s="175"/>
      <c r="T1" s="1407"/>
      <c r="U1" s="1407"/>
    </row>
    <row r="2" spans="1:22" customHeight="1" ht="9.95" s="173" customFormat="1">
      <c r="J2" s="174"/>
      <c r="L2" s="175"/>
      <c r="M2" s="175"/>
      <c r="T2" s="1407"/>
      <c r="U2" s="1407"/>
    </row>
    <row r="3" spans="1:22" customHeight="1" ht="9.95" s="173" customFormat="1">
      <c r="J3" s="174"/>
      <c r="L3" s="175"/>
      <c r="M3" s="175"/>
      <c r="T3" s="1407"/>
      <c r="U3" s="1407"/>
    </row>
    <row r="4" spans="1:22" customHeight="1" ht="20.1" s="11" customFormat="1">
      <c r="A4" s="9"/>
      <c r="B4" s="9"/>
      <c r="C4" s="9"/>
      <c r="D4" s="9"/>
      <c r="E4" s="9"/>
      <c r="F4" s="9"/>
      <c r="G4" s="9"/>
      <c r="H4" s="9"/>
      <c r="I4" s="9"/>
      <c r="J4" s="176"/>
      <c r="L4" s="67"/>
      <c r="M4" s="67"/>
      <c r="T4" s="386"/>
      <c r="U4" s="386"/>
    </row>
    <row r="5" spans="1:22" customHeight="1" ht="20.1" s="12" customFormat="1">
      <c r="A5" s="1469" t="s">
        <v>3</v>
      </c>
      <c r="B5" s="1469"/>
      <c r="C5" s="1469"/>
      <c r="D5" s="1469"/>
      <c r="E5" s="1469"/>
      <c r="F5" s="1469"/>
      <c r="G5" s="1469"/>
      <c r="H5" s="1469"/>
      <c r="I5" s="1469"/>
      <c r="J5" s="1469"/>
      <c r="K5" s="1469"/>
      <c r="L5" s="1469"/>
      <c r="M5" s="321"/>
      <c r="T5" s="1408"/>
      <c r="U5" s="1408"/>
    </row>
    <row r="6" spans="1:22" customHeight="1" ht="18.75" s="31" customFormat="1">
      <c r="A6" s="1470"/>
      <c r="B6" s="1470"/>
      <c r="C6" s="1470"/>
      <c r="D6" s="1470"/>
      <c r="E6" s="1470"/>
      <c r="F6" s="1470"/>
      <c r="G6" s="1470"/>
      <c r="H6" s="1470"/>
      <c r="I6" s="1470"/>
      <c r="J6" s="1470"/>
      <c r="T6" s="1409"/>
      <c r="U6" s="1409"/>
    </row>
    <row r="7" spans="1:22" customHeight="1" ht="18.75" s="179" customFormat="1">
      <c r="A7" s="177" t="s">
        <v>4</v>
      </c>
      <c r="B7" s="178"/>
      <c r="C7" s="178"/>
      <c r="D7" s="178"/>
      <c r="E7" s="178"/>
      <c r="F7" s="178"/>
      <c r="G7" s="178"/>
      <c r="H7" s="178"/>
      <c r="I7" s="177"/>
      <c r="J7" s="177" t="s">
        <v>5</v>
      </c>
      <c r="T7" s="1409"/>
      <c r="U7" s="1409"/>
    </row>
    <row r="8" spans="1:22" customHeight="1" ht="18.75" s="179" customFormat="1">
      <c r="A8" s="177" t="s">
        <v>6</v>
      </c>
      <c r="B8" s="178"/>
      <c r="C8" s="178"/>
      <c r="D8" s="178"/>
      <c r="E8" s="178"/>
      <c r="F8" s="178"/>
      <c r="G8" s="178"/>
      <c r="H8" s="178"/>
      <c r="I8" s="177"/>
      <c r="J8" s="177" t="s">
        <v>864</v>
      </c>
      <c r="T8" s="1409"/>
      <c r="U8" s="1409"/>
    </row>
    <row r="9" spans="1:22" customHeight="1" ht="18.75" s="179" customFormat="1">
      <c r="A9" s="177" t="s">
        <v>8</v>
      </c>
      <c r="B9" s="178"/>
      <c r="C9" s="178"/>
      <c r="D9" s="178"/>
      <c r="E9" s="178"/>
      <c r="F9" s="178"/>
      <c r="G9" s="178"/>
      <c r="H9" s="178"/>
      <c r="I9" s="178"/>
      <c r="J9" s="180"/>
      <c r="T9" s="1409"/>
      <c r="U9" s="1409"/>
    </row>
    <row r="10" spans="1:22" customHeight="1" ht="14.25" s="11" customFormat="1">
      <c r="A10" s="159"/>
      <c r="B10" s="159"/>
      <c r="C10" s="159"/>
      <c r="D10" s="159"/>
      <c r="E10" s="159"/>
      <c r="F10" s="159"/>
      <c r="G10" s="21"/>
      <c r="H10" s="33"/>
      <c r="I10" s="33"/>
      <c r="J10" s="33"/>
      <c r="K10" s="33"/>
      <c r="L10" s="160"/>
      <c r="M10" s="160"/>
      <c r="T10" s="386"/>
      <c r="U10" s="386"/>
    </row>
    <row r="11" spans="1:22" customHeight="1" ht="12.75" s="22" customFormat="1">
      <c r="A11" s="1471" t="s">
        <v>9</v>
      </c>
      <c r="B11" s="1471"/>
      <c r="C11" s="1471"/>
      <c r="D11" s="1471"/>
      <c r="E11" s="1471"/>
      <c r="F11" s="1472"/>
      <c r="G11" s="1475" t="s">
        <v>10</v>
      </c>
      <c r="H11" s="1475" t="s">
        <v>11</v>
      </c>
      <c r="I11" s="1477" t="s">
        <v>12</v>
      </c>
      <c r="J11" s="1478"/>
      <c r="K11" s="1479"/>
      <c r="L11" s="1477" t="s">
        <v>13</v>
      </c>
      <c r="M11" s="1513">
        <v>2021</v>
      </c>
      <c r="N11" s="1514"/>
      <c r="O11" s="1515"/>
      <c r="P11" s="1513" t="s">
        <v>865</v>
      </c>
      <c r="Q11" s="1515"/>
      <c r="R11" s="1513" t="s">
        <v>866</v>
      </c>
      <c r="S11" s="1515"/>
      <c r="T11" s="1513">
        <v>2021</v>
      </c>
      <c r="U11" s="1515"/>
    </row>
    <row r="12" spans="1:22" customHeight="1" ht="9" s="22" customFormat="1">
      <c r="A12" s="1473"/>
      <c r="B12" s="1473"/>
      <c r="C12" s="1473"/>
      <c r="D12" s="1473"/>
      <c r="E12" s="1473"/>
      <c r="F12" s="1474"/>
      <c r="G12" s="1476"/>
      <c r="H12" s="1476"/>
      <c r="I12" s="1480"/>
      <c r="J12" s="1481"/>
      <c r="K12" s="1482"/>
      <c r="L12" s="1483"/>
      <c r="M12" s="1516"/>
      <c r="N12" s="1517"/>
      <c r="O12" s="1518"/>
      <c r="P12" s="1516"/>
      <c r="Q12" s="1518"/>
      <c r="R12" s="1516"/>
      <c r="S12" s="1518"/>
      <c r="T12" s="1516"/>
      <c r="U12" s="1518"/>
    </row>
    <row r="13" spans="1:22" customHeight="1" ht="16.15" s="22" customFormat="1">
      <c r="A13" s="1473"/>
      <c r="B13" s="1473"/>
      <c r="C13" s="1473"/>
      <c r="D13" s="1473"/>
      <c r="E13" s="1473"/>
      <c r="F13" s="1474"/>
      <c r="G13" s="1476"/>
      <c r="H13" s="1476"/>
      <c r="I13" s="1475" t="s">
        <v>14</v>
      </c>
      <c r="J13" s="1475" t="s">
        <v>15</v>
      </c>
      <c r="K13" s="1475" t="s">
        <v>16</v>
      </c>
      <c r="L13" s="1483"/>
      <c r="M13" s="1516"/>
      <c r="N13" s="1517"/>
      <c r="O13" s="1518"/>
      <c r="P13" s="1516"/>
      <c r="Q13" s="1518"/>
      <c r="R13" s="1516"/>
      <c r="S13" s="1518"/>
      <c r="T13" s="1516"/>
      <c r="U13" s="1518"/>
    </row>
    <row r="14" spans="1:22" customHeight="1" ht="13.5" s="22" customFormat="1">
      <c r="A14" s="1473"/>
      <c r="B14" s="1473"/>
      <c r="C14" s="1473"/>
      <c r="D14" s="1473"/>
      <c r="E14" s="1473"/>
      <c r="F14" s="1474"/>
      <c r="G14" s="1476"/>
      <c r="H14" s="1476"/>
      <c r="I14" s="1476"/>
      <c r="J14" s="1476"/>
      <c r="K14" s="1476"/>
      <c r="L14" s="1483"/>
      <c r="M14" s="1412" t="s">
        <v>867</v>
      </c>
      <c r="N14" s="1413" t="s">
        <v>868</v>
      </c>
      <c r="O14" s="1411" t="s">
        <v>869</v>
      </c>
      <c r="P14" s="1410" t="s">
        <v>868</v>
      </c>
      <c r="Q14" s="1411" t="s">
        <v>869</v>
      </c>
      <c r="R14" s="1410" t="s">
        <v>868</v>
      </c>
      <c r="S14" s="1411" t="s">
        <v>869</v>
      </c>
      <c r="T14" s="1414" t="s">
        <v>868</v>
      </c>
      <c r="U14" s="1415" t="s">
        <v>869</v>
      </c>
    </row>
    <row r="15" spans="1:22" customHeight="1" ht="9" s="184" customFormat="1">
      <c r="A15" s="1484" t="s">
        <v>17</v>
      </c>
      <c r="B15" s="1485"/>
      <c r="C15" s="1485"/>
      <c r="D15" s="1485"/>
      <c r="E15" s="1485"/>
      <c r="F15" s="1486"/>
      <c r="G15" s="182" t="s">
        <v>18</v>
      </c>
      <c r="H15" s="182" t="s">
        <v>19</v>
      </c>
      <c r="I15" s="182" t="s">
        <v>20</v>
      </c>
      <c r="J15" s="182" t="s">
        <v>21</v>
      </c>
      <c r="K15" s="182" t="s">
        <v>22</v>
      </c>
      <c r="L15" s="183" t="s">
        <v>23</v>
      </c>
      <c r="M15" s="1416"/>
      <c r="N15" s="1417"/>
      <c r="O15" s="1418"/>
      <c r="P15" s="1419"/>
      <c r="Q15" s="1418"/>
      <c r="R15" s="1419"/>
      <c r="S15" s="1418"/>
      <c r="T15" s="1420"/>
      <c r="U15" s="1421"/>
    </row>
    <row r="16" spans="1:22" customHeight="1" ht="18" s="16" customFormat="1">
      <c r="A16" s="70" t="s">
        <v>835</v>
      </c>
      <c r="B16" s="20"/>
      <c r="C16" s="32"/>
      <c r="D16" s="32"/>
      <c r="E16" s="17"/>
      <c r="F16" s="17"/>
      <c r="G16" s="204"/>
      <c r="H16" s="205"/>
      <c r="I16" s="205"/>
      <c r="J16" s="205"/>
      <c r="K16" s="204"/>
      <c r="L16" s="186"/>
      <c r="M16" s="186"/>
      <c r="N16" s="1422"/>
      <c r="O16" s="78"/>
      <c r="P16" s="1423"/>
      <c r="Q16" s="94"/>
      <c r="R16" s="1424"/>
      <c r="S16" s="1425"/>
      <c r="T16" s="346"/>
      <c r="U16" s="386"/>
    </row>
    <row r="17" spans="1:22" customHeight="1" ht="18" s="16" customFormat="1">
      <c r="A17" s="59" t="s">
        <v>836</v>
      </c>
      <c r="B17" s="20"/>
      <c r="C17" s="32"/>
      <c r="D17" s="32"/>
      <c r="E17" s="17"/>
      <c r="F17" s="17"/>
      <c r="G17" s="206"/>
      <c r="H17" s="207"/>
      <c r="I17" s="207"/>
      <c r="J17" s="207"/>
      <c r="K17" s="206"/>
      <c r="L17" s="186"/>
      <c r="M17" s="186"/>
      <c r="N17" s="1422"/>
      <c r="O17" s="78"/>
      <c r="P17" s="1426"/>
      <c r="Q17" s="94"/>
      <c r="R17" s="1427"/>
      <c r="S17" s="1428"/>
      <c r="T17" s="346"/>
      <c r="U17" s="386"/>
    </row>
    <row r="18" spans="1:22" customHeight="1" ht="18" s="40" customFormat="1">
      <c r="C18" s="33" t="s">
        <v>26</v>
      </c>
      <c r="D18" s="33"/>
      <c r="E18" s="33"/>
      <c r="F18" s="21"/>
      <c r="G18" s="208" t="s">
        <v>27</v>
      </c>
      <c r="H18" s="295">
        <f>N18+O18+M18</f>
        <v>5899762.91</v>
      </c>
      <c r="I18" s="295">
        <f>P18+Q18</f>
        <v>692616</v>
      </c>
      <c r="J18" s="295">
        <f>K18-I18</f>
        <v>1812756</v>
      </c>
      <c r="K18" s="295">
        <f>R18+S18</f>
        <v>2505372</v>
      </c>
      <c r="L18" s="296">
        <f>T18+U18</f>
        <v>2578020</v>
      </c>
      <c r="M18" s="296">
        <v>4555918.91</v>
      </c>
      <c r="N18" s="1429"/>
      <c r="O18" s="111">
        <v>1343844</v>
      </c>
      <c r="P18" s="1430"/>
      <c r="Q18" s="1431">
        <v>692616</v>
      </c>
      <c r="R18" s="1432">
        <v>755604</v>
      </c>
      <c r="S18" s="1433">
        <v>1749768</v>
      </c>
      <c r="T18" s="346">
        <v>772320</v>
      </c>
      <c r="U18" s="356">
        <v>1805700</v>
      </c>
    </row>
    <row r="19" spans="1:22" customHeight="1" ht="18" s="40" customFormat="1">
      <c r="C19" s="33" t="s">
        <v>28</v>
      </c>
      <c r="D19" s="33"/>
      <c r="E19" s="33"/>
      <c r="F19" s="21"/>
      <c r="G19" s="208" t="s">
        <v>29</v>
      </c>
      <c r="H19" s="230">
        <f>N19+O19+M19</f>
        <v>686818.18</v>
      </c>
      <c r="I19" s="230">
        <f>P19+Q19</f>
        <v>60000</v>
      </c>
      <c r="J19" s="230">
        <f>K19-I19</f>
        <v>132000</v>
      </c>
      <c r="K19" s="230">
        <f>R19+S19</f>
        <v>192000</v>
      </c>
      <c r="L19" s="72">
        <f>T19+U19</f>
        <v>192000</v>
      </c>
      <c r="M19" s="72">
        <v>566818.18</v>
      </c>
      <c r="N19" s="1429"/>
      <c r="O19" s="111">
        <v>120000</v>
      </c>
      <c r="P19" s="1430"/>
      <c r="Q19" s="1431">
        <v>60000</v>
      </c>
      <c r="R19" s="1432">
        <v>24000</v>
      </c>
      <c r="S19" s="1433">
        <v>168000</v>
      </c>
      <c r="T19" s="346">
        <v>24000</v>
      </c>
      <c r="U19" s="356">
        <v>168000</v>
      </c>
    </row>
    <row r="20" spans="1:22" customHeight="1" ht="18" s="40" customFormat="1">
      <c r="C20" s="33" t="s">
        <v>34</v>
      </c>
      <c r="D20" s="33"/>
      <c r="E20" s="33"/>
      <c r="F20" s="21"/>
      <c r="G20" s="208" t="s">
        <v>35</v>
      </c>
      <c r="H20" s="230">
        <f>N20+O20+M20</f>
        <v>174000</v>
      </c>
      <c r="I20" s="230">
        <f>P20+Q20</f>
        <v>30000</v>
      </c>
      <c r="J20" s="230">
        <f>K20-I20</f>
        <v>18000</v>
      </c>
      <c r="K20" s="230">
        <f>R20+S20</f>
        <v>48000</v>
      </c>
      <c r="L20" s="72">
        <f>T20+U20</f>
        <v>48000</v>
      </c>
      <c r="M20" s="72">
        <v>144000</v>
      </c>
      <c r="N20" s="1429"/>
      <c r="O20" s="111">
        <v>30000</v>
      </c>
      <c r="P20" s="1430"/>
      <c r="Q20" s="1431">
        <v>30000</v>
      </c>
      <c r="R20" s="1432">
        <v>6000</v>
      </c>
      <c r="S20" s="1433">
        <v>42000</v>
      </c>
      <c r="T20" s="346">
        <v>6000</v>
      </c>
      <c r="U20" s="356">
        <v>42000</v>
      </c>
    </row>
    <row r="21" spans="1:22" customHeight="1" ht="18" s="40" customFormat="1">
      <c r="C21" s="33" t="s">
        <v>585</v>
      </c>
      <c r="D21" s="33"/>
      <c r="E21" s="33"/>
      <c r="F21" s="21"/>
      <c r="G21" s="208" t="s">
        <v>393</v>
      </c>
      <c r="H21" s="230">
        <f>N21+O21+M21</f>
        <v>32000</v>
      </c>
      <c r="I21" s="230">
        <f>P21+Q21</f>
        <v>14500</v>
      </c>
      <c r="J21" s="230">
        <f>K21-I21</f>
        <v>39500</v>
      </c>
      <c r="K21" s="230">
        <f>R21+S21</f>
        <v>54000</v>
      </c>
      <c r="L21" s="72">
        <f>T21+U21</f>
        <v>54000</v>
      </c>
      <c r="M21" s="72"/>
      <c r="N21" s="1429"/>
      <c r="O21" s="111">
        <v>32000</v>
      </c>
      <c r="P21" s="1430"/>
      <c r="Q21" s="1431">
        <v>14500</v>
      </c>
      <c r="R21" s="1432"/>
      <c r="S21" s="1433">
        <v>54000</v>
      </c>
      <c r="T21" s="346"/>
      <c r="U21" s="356">
        <v>54000</v>
      </c>
    </row>
    <row r="22" spans="1:22" customHeight="1" ht="18" s="40" customFormat="1">
      <c r="C22" s="33" t="s">
        <v>586</v>
      </c>
      <c r="D22" s="33"/>
      <c r="E22" s="33"/>
      <c r="F22" s="21"/>
      <c r="G22" s="208" t="s">
        <v>395</v>
      </c>
      <c r="H22" s="230">
        <f>N22+O22+M22</f>
        <v>3300</v>
      </c>
      <c r="I22" s="230">
        <f>P22+Q22</f>
        <v>1500</v>
      </c>
      <c r="J22" s="230">
        <f>K22-I22</f>
        <v>3900</v>
      </c>
      <c r="K22" s="230">
        <f>R22+S22</f>
        <v>5400</v>
      </c>
      <c r="L22" s="72">
        <f>T22+U22</f>
        <v>5400</v>
      </c>
      <c r="M22" s="72"/>
      <c r="N22" s="1429"/>
      <c r="O22" s="111">
        <v>3300</v>
      </c>
      <c r="P22" s="1430"/>
      <c r="Q22" s="1431">
        <v>1500</v>
      </c>
      <c r="R22" s="1432"/>
      <c r="S22" s="1433">
        <v>5400</v>
      </c>
      <c r="T22" s="346"/>
      <c r="U22" s="356">
        <v>5400</v>
      </c>
    </row>
    <row r="23" spans="1:22" customHeight="1" ht="18" s="40" customFormat="1">
      <c r="C23" s="33" t="s">
        <v>409</v>
      </c>
      <c r="D23" s="33"/>
      <c r="E23" s="33"/>
      <c r="F23" s="21"/>
      <c r="G23" s="208" t="s">
        <v>410</v>
      </c>
      <c r="H23" s="230">
        <f>N23+O23+M23</f>
        <v>109314</v>
      </c>
      <c r="I23" s="230">
        <f>P23+Q23</f>
        <v>46602</v>
      </c>
      <c r="J23" s="230">
        <f>K23-I23</f>
        <v>104409</v>
      </c>
      <c r="K23" s="230">
        <f>R23+S23</f>
        <v>151011</v>
      </c>
      <c r="L23" s="72">
        <f>T23+U23</f>
        <v>154665</v>
      </c>
      <c r="M23" s="72"/>
      <c r="N23" s="1429"/>
      <c r="O23" s="111">
        <v>109314</v>
      </c>
      <c r="P23" s="1430"/>
      <c r="Q23" s="1431">
        <v>46602</v>
      </c>
      <c r="R23" s="1432"/>
      <c r="S23" s="1433">
        <v>151011</v>
      </c>
      <c r="T23" s="346"/>
      <c r="U23" s="356">
        <v>154665</v>
      </c>
    </row>
    <row r="24" spans="1:22" customHeight="1" ht="18" s="40" customFormat="1">
      <c r="C24" s="33" t="s">
        <v>36</v>
      </c>
      <c r="D24" s="33"/>
      <c r="E24" s="33"/>
      <c r="F24" s="21"/>
      <c r="G24" s="208" t="s">
        <v>37</v>
      </c>
      <c r="H24" s="230">
        <f>N24+O24+M24</f>
        <v>313975.5</v>
      </c>
      <c r="I24" s="230">
        <f>P24+Q24</f>
        <v>53989.79</v>
      </c>
      <c r="J24" s="230">
        <f>K24-I24</f>
        <v>326010.21</v>
      </c>
      <c r="K24" s="230">
        <f>R24+S24</f>
        <v>380000</v>
      </c>
      <c r="L24" s="72">
        <f>T24+U24</f>
        <v>380000</v>
      </c>
      <c r="M24" s="72">
        <v>200962</v>
      </c>
      <c r="N24" s="1429">
        <v>113013.5</v>
      </c>
      <c r="O24" s="111"/>
      <c r="P24" s="1430">
        <v>53989.79</v>
      </c>
      <c r="Q24" s="1431"/>
      <c r="R24" s="1432">
        <v>230000</v>
      </c>
      <c r="S24" s="1433">
        <v>150000</v>
      </c>
      <c r="T24" s="346">
        <v>230000</v>
      </c>
      <c r="U24" s="356">
        <v>150000</v>
      </c>
    </row>
    <row r="25" spans="1:22" customHeight="1" ht="18" s="40" customFormat="1">
      <c r="C25" s="33" t="s">
        <v>38</v>
      </c>
      <c r="D25" s="33"/>
      <c r="E25" s="33"/>
      <c r="F25" s="21"/>
      <c r="G25" s="208" t="s">
        <v>39</v>
      </c>
      <c r="H25" s="230">
        <f>N25+O25+M25</f>
        <v>501984.4</v>
      </c>
      <c r="I25" s="230">
        <f>P25+Q25</f>
        <v>0</v>
      </c>
      <c r="J25" s="230">
        <f>K25-I25</f>
        <v>208781</v>
      </c>
      <c r="K25" s="230">
        <f>R25+S25</f>
        <v>208781</v>
      </c>
      <c r="L25" s="72">
        <f>T25+U25</f>
        <v>214835</v>
      </c>
      <c r="M25" s="72">
        <v>389997.4</v>
      </c>
      <c r="N25" s="1429"/>
      <c r="O25" s="111">
        <v>111987</v>
      </c>
      <c r="P25" s="1430"/>
      <c r="Q25" s="1431"/>
      <c r="R25" s="1432">
        <v>62967</v>
      </c>
      <c r="S25" s="1433">
        <v>145814</v>
      </c>
      <c r="T25" s="346">
        <v>64360</v>
      </c>
      <c r="U25" s="356">
        <v>150475</v>
      </c>
    </row>
    <row r="26" spans="1:22" customHeight="1" ht="18" s="40" customFormat="1">
      <c r="C26" s="33" t="s">
        <v>40</v>
      </c>
      <c r="D26" s="33"/>
      <c r="E26" s="33"/>
      <c r="F26" s="21"/>
      <c r="G26" s="208" t="s">
        <v>41</v>
      </c>
      <c r="H26" s="230">
        <f>N26+O26+M26</f>
        <v>144250</v>
      </c>
      <c r="I26" s="230">
        <f>P26+Q26</f>
        <v>0</v>
      </c>
      <c r="J26" s="230">
        <f>K26-I26</f>
        <v>40000</v>
      </c>
      <c r="K26" s="230">
        <f>R26+S26</f>
        <v>40000</v>
      </c>
      <c r="L26" s="72">
        <f>T26+U26</f>
        <v>40000</v>
      </c>
      <c r="M26" s="72">
        <v>119250</v>
      </c>
      <c r="N26" s="295"/>
      <c r="O26" s="72">
        <v>25000</v>
      </c>
      <c r="P26" s="1434"/>
      <c r="Q26" s="72"/>
      <c r="R26" s="1434">
        <v>5000</v>
      </c>
      <c r="S26" s="1435">
        <v>35000</v>
      </c>
      <c r="T26" s="346">
        <v>5000</v>
      </c>
      <c r="U26" s="356">
        <v>35000</v>
      </c>
    </row>
    <row r="27" spans="1:22" customHeight="1" ht="18" s="40" customFormat="1">
      <c r="C27" s="33" t="s">
        <v>42</v>
      </c>
      <c r="D27" s="33"/>
      <c r="E27" s="33"/>
      <c r="F27" s="47"/>
      <c r="G27" s="208" t="s">
        <v>43</v>
      </c>
      <c r="H27" s="230">
        <f>N27+O27+M27</f>
        <v>640683</v>
      </c>
      <c r="I27" s="230">
        <f>P27+Q27</f>
        <v>115436</v>
      </c>
      <c r="J27" s="230">
        <f>K27-I27</f>
        <v>133345</v>
      </c>
      <c r="K27" s="230">
        <f>R27+S27</f>
        <v>248781</v>
      </c>
      <c r="L27" s="72">
        <f>T27+U27</f>
        <v>254835</v>
      </c>
      <c r="M27" s="72">
        <v>503696</v>
      </c>
      <c r="N27" s="295"/>
      <c r="O27" s="72">
        <v>136987</v>
      </c>
      <c r="P27" s="1434"/>
      <c r="Q27" s="72">
        <v>115436</v>
      </c>
      <c r="R27" s="1434">
        <v>67967</v>
      </c>
      <c r="S27" s="1435">
        <v>180814</v>
      </c>
      <c r="T27" s="346">
        <v>69360</v>
      </c>
      <c r="U27" s="356">
        <v>185475</v>
      </c>
    </row>
    <row r="28" spans="1:22" customHeight="1" ht="18" s="40" customFormat="1">
      <c r="C28" s="33" t="s">
        <v>46</v>
      </c>
      <c r="D28" s="33"/>
      <c r="E28" s="33"/>
      <c r="F28" s="21"/>
      <c r="G28" s="208" t="s">
        <v>47</v>
      </c>
      <c r="H28" s="230">
        <f>N28+O28+M28</f>
        <v>707988.74</v>
      </c>
      <c r="I28" s="230">
        <f>P28+Q28</f>
        <v>83113.92</v>
      </c>
      <c r="J28" s="230">
        <f>K28-I28</f>
        <v>217530.72</v>
      </c>
      <c r="K28" s="230">
        <f>R28+S28</f>
        <v>300644.64</v>
      </c>
      <c r="L28" s="72">
        <f>T28+U28</f>
        <v>309362.4</v>
      </c>
      <c r="M28" s="72">
        <v>546727.46</v>
      </c>
      <c r="N28" s="295"/>
      <c r="O28" s="72">
        <v>161261.28</v>
      </c>
      <c r="P28" s="1434"/>
      <c r="Q28" s="72">
        <v>83113.92</v>
      </c>
      <c r="R28" s="1434">
        <v>90672.48</v>
      </c>
      <c r="S28" s="1435">
        <v>209972.16</v>
      </c>
      <c r="T28" s="346">
        <v>92678.4</v>
      </c>
      <c r="U28" s="356">
        <v>216684</v>
      </c>
    </row>
    <row r="29" spans="1:22" customHeight="1" ht="18" s="40" customFormat="1">
      <c r="C29" s="33" t="s">
        <v>48</v>
      </c>
      <c r="D29" s="33"/>
      <c r="E29" s="33"/>
      <c r="F29" s="21"/>
      <c r="G29" s="208" t="s">
        <v>49</v>
      </c>
      <c r="H29" s="230">
        <f>N29+O29+M29</f>
        <v>34400</v>
      </c>
      <c r="I29" s="230">
        <f>P29+Q29</f>
        <v>3000</v>
      </c>
      <c r="J29" s="230">
        <f>K29-I29</f>
        <v>6600</v>
      </c>
      <c r="K29" s="230">
        <f>R29+S29</f>
        <v>9600</v>
      </c>
      <c r="L29" s="72">
        <f>T29+U29</f>
        <v>9600</v>
      </c>
      <c r="M29" s="72">
        <v>28400</v>
      </c>
      <c r="N29" s="295"/>
      <c r="O29" s="72">
        <v>6000</v>
      </c>
      <c r="P29" s="1434"/>
      <c r="Q29" s="72">
        <v>3000</v>
      </c>
      <c r="R29" s="1434">
        <v>1200</v>
      </c>
      <c r="S29" s="1435">
        <v>8400</v>
      </c>
      <c r="T29" s="346">
        <v>1200</v>
      </c>
      <c r="U29" s="356">
        <v>8400</v>
      </c>
    </row>
    <row r="30" spans="1:22" customHeight="1" ht="18" s="40" customFormat="1">
      <c r="C30" s="33" t="s">
        <v>50</v>
      </c>
      <c r="D30" s="33"/>
      <c r="E30" s="33"/>
      <c r="F30" s="21"/>
      <c r="G30" s="208" t="s">
        <v>51</v>
      </c>
      <c r="H30" s="230">
        <f>N30+O30+M30</f>
        <v>87151.97</v>
      </c>
      <c r="I30" s="230">
        <f>P30+Q30</f>
        <v>10060.62</v>
      </c>
      <c r="J30" s="230">
        <f>K30-I30</f>
        <v>40046.82</v>
      </c>
      <c r="K30" s="230">
        <f>R30+S30</f>
        <v>50107.44</v>
      </c>
      <c r="L30" s="72">
        <f>T30+U30</f>
        <v>58005.45</v>
      </c>
      <c r="M30" s="72">
        <v>67339.09</v>
      </c>
      <c r="N30" s="295"/>
      <c r="O30" s="72">
        <v>19812.88</v>
      </c>
      <c r="P30" s="1434"/>
      <c r="Q30" s="72">
        <v>10060.62</v>
      </c>
      <c r="R30" s="1434">
        <v>15112.08</v>
      </c>
      <c r="S30" s="1435">
        <v>34995.36</v>
      </c>
      <c r="T30" s="346">
        <v>17377.2</v>
      </c>
      <c r="U30" s="356">
        <v>40628.25</v>
      </c>
    </row>
    <row r="31" spans="1:22" customHeight="1" ht="18" s="40" customFormat="1">
      <c r="C31" s="33" t="s">
        <v>52</v>
      </c>
      <c r="D31" s="33"/>
      <c r="E31" s="33"/>
      <c r="F31" s="21"/>
      <c r="G31" s="208" t="s">
        <v>53</v>
      </c>
      <c r="H31" s="230">
        <f>N31+O31+M31</f>
        <v>34358.54</v>
      </c>
      <c r="I31" s="230">
        <f>P31+Q31</f>
        <v>3000</v>
      </c>
      <c r="J31" s="230">
        <f>K31-I31</f>
        <v>6600</v>
      </c>
      <c r="K31" s="230">
        <f>R31+S31</f>
        <v>9600</v>
      </c>
      <c r="L31" s="72">
        <f>T31+U31</f>
        <v>9600</v>
      </c>
      <c r="M31" s="72">
        <v>28358.54</v>
      </c>
      <c r="N31" s="295"/>
      <c r="O31" s="72">
        <v>6000</v>
      </c>
      <c r="P31" s="1434"/>
      <c r="Q31" s="72">
        <v>3000</v>
      </c>
      <c r="R31" s="1434">
        <v>1200</v>
      </c>
      <c r="S31" s="1435">
        <v>8400</v>
      </c>
      <c r="T31" s="346">
        <v>1200</v>
      </c>
      <c r="U31" s="356">
        <v>8400</v>
      </c>
    </row>
    <row r="32" spans="1:22" customHeight="1" ht="18" s="40" customFormat="1">
      <c r="C32" s="33" t="s">
        <v>54</v>
      </c>
      <c r="D32" s="33"/>
      <c r="E32" s="33"/>
      <c r="F32" s="21"/>
      <c r="G32" s="208" t="s">
        <v>55</v>
      </c>
      <c r="H32" s="284">
        <f>N32+O32+M32</f>
        <v>721250</v>
      </c>
      <c r="I32" s="284">
        <f>P32+Q32</f>
        <v>0</v>
      </c>
      <c r="J32" s="284">
        <f>K32-I32</f>
        <v>100617.2</v>
      </c>
      <c r="K32" s="284">
        <f>R32+S32</f>
        <v>100617.2</v>
      </c>
      <c r="L32" s="285">
        <f>T32+U32</f>
        <v>103534.79</v>
      </c>
      <c r="M32" s="285">
        <v>596250</v>
      </c>
      <c r="N32" s="295"/>
      <c r="O32" s="72">
        <v>125000</v>
      </c>
      <c r="P32" s="1434"/>
      <c r="Q32" s="72"/>
      <c r="R32" s="1434">
        <v>30345.5</v>
      </c>
      <c r="S32" s="1435">
        <v>70271.7</v>
      </c>
      <c r="T32" s="346">
        <v>31016.82</v>
      </c>
      <c r="U32" s="356">
        <v>72517.97</v>
      </c>
    </row>
    <row r="33" spans="1:22" customHeight="1" ht="18" s="19" customFormat="1">
      <c r="A33" s="913" t="s">
        <v>61</v>
      </c>
      <c r="B33" s="263"/>
      <c r="C33" s="263"/>
      <c r="D33" s="263"/>
      <c r="E33" s="263"/>
      <c r="F33" s="263"/>
      <c r="G33" s="264"/>
      <c r="H33" s="297">
        <f>SUM(H18:H32)</f>
        <v>10091237.24</v>
      </c>
      <c r="I33" s="297">
        <f>SUM(I18:I32)</f>
        <v>1113818.33</v>
      </c>
      <c r="J33" s="297">
        <f>SUM(J18:J32)</f>
        <v>3190095.95</v>
      </c>
      <c r="K33" s="297">
        <f>SUM(K18:K32)</f>
        <v>4303914.28</v>
      </c>
      <c r="L33" s="298">
        <f>SUM(L18:L32)</f>
        <v>4411857.64</v>
      </c>
      <c r="M33" s="297">
        <f>SUM(M18:M32)</f>
        <v>7747717.58</v>
      </c>
      <c r="N33" s="297">
        <f>SUM(N18:N32)</f>
        <v>113013.5</v>
      </c>
      <c r="O33" s="298">
        <f>SUM(O18:O32)</f>
        <v>2230506.16</v>
      </c>
      <c r="P33" s="298">
        <f>SUM(P18:P32)</f>
        <v>53989.79</v>
      </c>
      <c r="Q33" s="298">
        <f>SUM(Q18:Q32)</f>
        <v>1059828.54</v>
      </c>
      <c r="R33" s="298">
        <f>SUM(R18:R32)</f>
        <v>1290068.06</v>
      </c>
      <c r="S33" s="298">
        <f>SUM(S18:S32)</f>
        <v>3013846.22</v>
      </c>
      <c r="T33" s="298">
        <f>SUM(T18:T32)</f>
        <v>1314512.42</v>
      </c>
      <c r="U33" s="298">
        <f>SUM(U18:U32)</f>
        <v>3097345.22</v>
      </c>
    </row>
    <row r="34" spans="1:22" customHeight="1" ht="15" s="1" customFormat="1">
      <c r="A34" s="59" t="s">
        <v>837</v>
      </c>
      <c r="B34" s="59"/>
      <c r="C34" s="14"/>
      <c r="D34" s="14"/>
      <c r="E34" s="14"/>
      <c r="F34" s="14"/>
      <c r="G34" s="221"/>
      <c r="H34" s="221"/>
      <c r="I34" s="221"/>
      <c r="J34" s="221"/>
      <c r="K34" s="222"/>
      <c r="N34" s="1436"/>
      <c r="O34" s="103"/>
      <c r="P34" s="1437"/>
      <c r="Q34" s="1438"/>
      <c r="R34" s="1439"/>
      <c r="S34" s="1440"/>
      <c r="T34" s="346"/>
      <c r="U34" s="1408"/>
    </row>
    <row r="35" spans="1:22" customHeight="1" ht="15" s="40" customFormat="1">
      <c r="C35" s="33" t="s">
        <v>63</v>
      </c>
      <c r="D35" s="33"/>
      <c r="E35" s="33"/>
      <c r="F35" s="21"/>
      <c r="G35" s="223" t="s">
        <v>64</v>
      </c>
      <c r="H35" s="295">
        <f>N35+O35+M35</f>
        <v>16200</v>
      </c>
      <c r="I35" s="295">
        <f>P35+Q35</f>
        <v>0</v>
      </c>
      <c r="J35" s="295">
        <f>K35-I35</f>
        <v>90000</v>
      </c>
      <c r="K35" s="295">
        <f>R35+S35</f>
        <v>90000</v>
      </c>
      <c r="L35" s="296">
        <f>T35+U35</f>
        <v>90000</v>
      </c>
      <c r="M35" s="296"/>
      <c r="N35" s="1429">
        <v>16200</v>
      </c>
      <c r="O35" s="104"/>
      <c r="P35" s="1441"/>
      <c r="Q35" s="1431"/>
      <c r="R35" s="1432">
        <v>50000</v>
      </c>
      <c r="S35" s="1433">
        <v>40000</v>
      </c>
      <c r="T35" s="346">
        <v>50000</v>
      </c>
      <c r="U35" s="356">
        <v>40000</v>
      </c>
    </row>
    <row r="36" spans="1:22" customHeight="1" ht="15" s="40" customFormat="1">
      <c r="C36" s="33" t="s">
        <v>72</v>
      </c>
      <c r="D36" s="33"/>
      <c r="E36" s="33"/>
      <c r="F36" s="48"/>
      <c r="G36" s="223" t="s">
        <v>73</v>
      </c>
      <c r="H36" s="230">
        <f>N36+O36+M36</f>
        <v>0</v>
      </c>
      <c r="I36" s="230">
        <f>P36+Q36</f>
        <v>0</v>
      </c>
      <c r="J36" s="230">
        <f>K36-I36</f>
        <v>20000</v>
      </c>
      <c r="K36" s="230">
        <f>R36+S36</f>
        <v>20000</v>
      </c>
      <c r="L36" s="72">
        <f>T36+U36</f>
        <v>20000</v>
      </c>
      <c r="M36" s="72"/>
      <c r="N36" s="230"/>
      <c r="O36" s="72"/>
      <c r="P36" s="1442"/>
      <c r="Q36" s="72"/>
      <c r="R36" s="1442"/>
      <c r="S36" s="1435">
        <v>20000</v>
      </c>
      <c r="T36" s="346"/>
      <c r="U36" s="356">
        <v>20000</v>
      </c>
    </row>
    <row r="37" spans="1:22" customHeight="1" ht="15" s="40" customFormat="1">
      <c r="C37" s="33" t="s">
        <v>76</v>
      </c>
      <c r="D37" s="33"/>
      <c r="E37" s="33"/>
      <c r="F37" s="21"/>
      <c r="G37" s="223" t="s">
        <v>77</v>
      </c>
      <c r="H37" s="230">
        <f>N37+O37+M37</f>
        <v>359600.5</v>
      </c>
      <c r="I37" s="230">
        <f>P37+Q37</f>
        <v>81887</v>
      </c>
      <c r="J37" s="230">
        <f>K37-I37</f>
        <v>372113</v>
      </c>
      <c r="K37" s="230">
        <f>R37+S37</f>
        <v>454000</v>
      </c>
      <c r="L37" s="72">
        <f>T37+U37</f>
        <v>454000</v>
      </c>
      <c r="M37" s="72">
        <v>110739.5</v>
      </c>
      <c r="N37" s="1429">
        <v>177901</v>
      </c>
      <c r="O37" s="104">
        <v>70960</v>
      </c>
      <c r="P37" s="1441">
        <v>57289</v>
      </c>
      <c r="Q37" s="1431">
        <v>24598</v>
      </c>
      <c r="R37" s="1432">
        <v>364000</v>
      </c>
      <c r="S37" s="1433">
        <v>90000</v>
      </c>
      <c r="T37" s="346">
        <v>364000</v>
      </c>
      <c r="U37" s="356">
        <v>90000</v>
      </c>
    </row>
    <row r="38" spans="1:22" customHeight="1" ht="15" s="40" customFormat="1">
      <c r="C38" s="33" t="s">
        <v>259</v>
      </c>
      <c r="D38" s="33"/>
      <c r="E38" s="33"/>
      <c r="F38" s="21"/>
      <c r="G38" s="223" t="s">
        <v>260</v>
      </c>
      <c r="H38" s="230">
        <f>N38+O38+M38</f>
        <v>0</v>
      </c>
      <c r="I38" s="230">
        <f>P38+Q38</f>
        <v>0</v>
      </c>
      <c r="J38" s="230">
        <f>K38-I38</f>
        <v>270000</v>
      </c>
      <c r="K38" s="230">
        <f>R38+S38</f>
        <v>270000</v>
      </c>
      <c r="L38" s="72">
        <f>T38+U38</f>
        <v>270000</v>
      </c>
      <c r="M38" s="72"/>
      <c r="N38" s="1429"/>
      <c r="O38" s="104"/>
      <c r="P38" s="1441"/>
      <c r="Q38" s="1431"/>
      <c r="R38" s="1432">
        <v>270000</v>
      </c>
      <c r="S38" s="1433"/>
      <c r="T38" s="346">
        <v>270000</v>
      </c>
      <c r="U38" s="356"/>
    </row>
    <row r="39" spans="1:22" customHeight="1" ht="15" s="40" customFormat="1">
      <c r="C39" s="33" t="s">
        <v>79</v>
      </c>
      <c r="D39" s="33"/>
      <c r="E39" s="33"/>
      <c r="F39" s="21"/>
      <c r="G39" s="223" t="s">
        <v>80</v>
      </c>
      <c r="H39" s="230">
        <f>N39+O39+M39</f>
        <v>480116.79</v>
      </c>
      <c r="I39" s="230">
        <f>P39+Q39</f>
        <v>89927.58</v>
      </c>
      <c r="J39" s="230">
        <f>K39-I39</f>
        <v>400072.42</v>
      </c>
      <c r="K39" s="230">
        <f>R39+S39</f>
        <v>490000</v>
      </c>
      <c r="L39" s="72">
        <f>T39+U39</f>
        <v>590000</v>
      </c>
      <c r="M39" s="72">
        <v>11805.84</v>
      </c>
      <c r="N39" s="1429">
        <v>70403</v>
      </c>
      <c r="O39" s="104">
        <v>397907.95</v>
      </c>
      <c r="P39" s="1441"/>
      <c r="Q39" s="1431">
        <v>89927.58</v>
      </c>
      <c r="R39" s="1432">
        <v>90000</v>
      </c>
      <c r="S39" s="1433">
        <v>400000</v>
      </c>
      <c r="T39" s="346">
        <v>90000</v>
      </c>
      <c r="U39" s="356">
        <v>500000</v>
      </c>
    </row>
    <row r="40" spans="1:22" customHeight="1" ht="15" s="40" customFormat="1">
      <c r="C40" s="33" t="s">
        <v>81</v>
      </c>
      <c r="D40" s="33"/>
      <c r="E40" s="33"/>
      <c r="F40" s="21"/>
      <c r="G40" s="208" t="s">
        <v>82</v>
      </c>
      <c r="H40" s="230">
        <f>N40+O40+M40</f>
        <v>360000</v>
      </c>
      <c r="I40" s="230">
        <f>P40+Q40</f>
        <v>116100</v>
      </c>
      <c r="J40" s="230">
        <f>K40-I40</f>
        <v>403900</v>
      </c>
      <c r="K40" s="230">
        <f>R40+S40</f>
        <v>520000</v>
      </c>
      <c r="L40" s="72">
        <f>T40+U40</f>
        <v>520000</v>
      </c>
      <c r="M40" s="72"/>
      <c r="N40" s="1443"/>
      <c r="O40" s="104">
        <v>360000</v>
      </c>
      <c r="P40" s="1441"/>
      <c r="Q40" s="1431">
        <v>116100</v>
      </c>
      <c r="R40" s="1432"/>
      <c r="S40" s="1433">
        <v>520000</v>
      </c>
      <c r="T40" s="346"/>
      <c r="U40" s="356">
        <v>520000</v>
      </c>
    </row>
    <row r="41" spans="1:22" customHeight="1" ht="15" s="40" customFormat="1">
      <c r="C41" s="33" t="s">
        <v>83</v>
      </c>
      <c r="D41" s="33"/>
      <c r="E41" s="33"/>
      <c r="F41" s="185"/>
      <c r="G41" s="223" t="s">
        <v>84</v>
      </c>
      <c r="H41" s="230">
        <f>N41+O41+M41</f>
        <v>126928.28</v>
      </c>
      <c r="I41" s="230">
        <f>P41+Q41</f>
        <v>55856.2</v>
      </c>
      <c r="J41" s="230">
        <f>K41-I41</f>
        <v>414143.8</v>
      </c>
      <c r="K41" s="230">
        <f>R41+S41</f>
        <v>470000</v>
      </c>
      <c r="L41" s="72">
        <f>T41+U41</f>
        <v>290000</v>
      </c>
      <c r="M41" s="72">
        <v>19811.96</v>
      </c>
      <c r="N41" s="1429">
        <v>107116.32</v>
      </c>
      <c r="O41" s="104"/>
      <c r="P41" s="1441">
        <v>55856.2</v>
      </c>
      <c r="Q41" s="1431"/>
      <c r="R41" s="1432">
        <v>420000</v>
      </c>
      <c r="S41" s="1433">
        <v>50000</v>
      </c>
      <c r="T41" s="346">
        <v>240000</v>
      </c>
      <c r="U41" s="356">
        <v>50000</v>
      </c>
    </row>
    <row r="42" spans="1:22" customHeight="1" ht="15" s="40" customFormat="1">
      <c r="C42" s="33" t="s">
        <v>88</v>
      </c>
      <c r="D42" s="33"/>
      <c r="E42" s="33"/>
      <c r="F42" s="51"/>
      <c r="G42" s="223" t="s">
        <v>89</v>
      </c>
      <c r="H42" s="230">
        <f>N42+O42+M42</f>
        <v>747195.09</v>
      </c>
      <c r="I42" s="230">
        <f>P42+Q42</f>
        <v>149422.07</v>
      </c>
      <c r="J42" s="230">
        <f>K42-I42</f>
        <v>850577.93</v>
      </c>
      <c r="K42" s="230">
        <f>R42+S42</f>
        <v>1000000</v>
      </c>
      <c r="L42" s="72">
        <f>T42+U42</f>
        <v>1100000</v>
      </c>
      <c r="M42" s="72">
        <v>266744.78</v>
      </c>
      <c r="N42" s="1444">
        <v>303867.36</v>
      </c>
      <c r="O42" s="104">
        <v>176582.95</v>
      </c>
      <c r="P42" s="1441">
        <v>106171.76</v>
      </c>
      <c r="Q42" s="1431">
        <v>43250.31</v>
      </c>
      <c r="R42" s="1432">
        <v>500000</v>
      </c>
      <c r="S42" s="1433">
        <v>500000</v>
      </c>
      <c r="T42" s="346">
        <v>600000</v>
      </c>
      <c r="U42" s="356">
        <v>500000</v>
      </c>
    </row>
    <row r="43" spans="1:22" customHeight="1" ht="15" s="40" customFormat="1">
      <c r="C43" s="33" t="s">
        <v>293</v>
      </c>
      <c r="D43" s="33"/>
      <c r="E43" s="33"/>
      <c r="F43" s="21"/>
      <c r="G43" s="223" t="s">
        <v>96</v>
      </c>
      <c r="H43" s="230">
        <f>N43+O43+M43</f>
        <v>6230.7</v>
      </c>
      <c r="I43" s="230">
        <f>P43+Q43</f>
        <v>0</v>
      </c>
      <c r="J43" s="230">
        <f>K43-I43</f>
        <v>6000</v>
      </c>
      <c r="K43" s="230">
        <f>R43+S43</f>
        <v>6000</v>
      </c>
      <c r="L43" s="72">
        <f>T43+U43</f>
        <v>0</v>
      </c>
      <c r="M43" s="72">
        <v>6230.7</v>
      </c>
      <c r="N43" s="1443"/>
      <c r="O43" s="104"/>
      <c r="P43" s="1441"/>
      <c r="Q43" s="1431"/>
      <c r="R43" s="1432">
        <v>6000</v>
      </c>
      <c r="S43" s="1433"/>
      <c r="T43" s="346"/>
      <c r="U43" s="356"/>
    </row>
    <row r="44" spans="1:22" customHeight="1" ht="15" s="40" customFormat="1">
      <c r="C44" s="33" t="s">
        <v>97</v>
      </c>
      <c r="D44" s="33"/>
      <c r="E44" s="33"/>
      <c r="F44" s="56"/>
      <c r="G44" s="223" t="s">
        <v>98</v>
      </c>
      <c r="H44" s="230">
        <f>N44+O44+M44</f>
        <v>29901.6</v>
      </c>
      <c r="I44" s="230">
        <f>P44+Q44</f>
        <v>0</v>
      </c>
      <c r="J44" s="230">
        <f>K44-I44</f>
        <v>18000</v>
      </c>
      <c r="K44" s="230">
        <f>R44+S44</f>
        <v>18000</v>
      </c>
      <c r="L44" s="72">
        <f>T44+U44</f>
        <v>43200</v>
      </c>
      <c r="M44" s="72">
        <v>15192</v>
      </c>
      <c r="N44" s="1429">
        <v>14709.6</v>
      </c>
      <c r="O44" s="104"/>
      <c r="P44" s="1441"/>
      <c r="Q44" s="1431"/>
      <c r="R44" s="1432">
        <v>18000</v>
      </c>
      <c r="S44" s="1433"/>
      <c r="T44" s="346">
        <v>43200</v>
      </c>
      <c r="U44" s="356"/>
    </row>
    <row r="45" spans="1:22" customHeight="1" ht="15" s="40" customFormat="1">
      <c r="C45" s="33" t="s">
        <v>841</v>
      </c>
      <c r="D45" s="33"/>
      <c r="E45" s="33"/>
      <c r="F45" s="56"/>
      <c r="G45" s="223" t="s">
        <v>424</v>
      </c>
      <c r="H45" s="230">
        <f>N45+O45+M45</f>
        <v>4025.62</v>
      </c>
      <c r="I45" s="230">
        <f>P45+Q45</f>
        <v>0</v>
      </c>
      <c r="J45" s="230">
        <f>K45-I45</f>
        <v>5520</v>
      </c>
      <c r="K45" s="230">
        <f>R45+S45</f>
        <v>5520</v>
      </c>
      <c r="L45" s="72">
        <f>T45+U45</f>
        <v>0</v>
      </c>
      <c r="M45" s="72"/>
      <c r="N45" s="1429">
        <v>4025.62</v>
      </c>
      <c r="O45" s="104"/>
      <c r="P45" s="1441"/>
      <c r="Q45" s="1431"/>
      <c r="R45" s="1432">
        <v>5520</v>
      </c>
      <c r="S45" s="1433"/>
      <c r="T45" s="346"/>
      <c r="U45" s="356"/>
    </row>
    <row r="46" spans="1:22" customHeight="1" ht="15" s="40" customFormat="1">
      <c r="C46" s="33" t="s">
        <v>842</v>
      </c>
      <c r="D46" s="33"/>
      <c r="E46" s="33"/>
      <c r="F46" s="56"/>
      <c r="G46" s="223" t="s">
        <v>307</v>
      </c>
      <c r="H46" s="230">
        <f>N46+O46+M46</f>
        <v>0</v>
      </c>
      <c r="I46" s="230">
        <f>P46+Q46</f>
        <v>0</v>
      </c>
      <c r="J46" s="230">
        <f>K46-I46</f>
        <v>716811.94</v>
      </c>
      <c r="K46" s="230">
        <f>R46+S46</f>
        <v>716811.94</v>
      </c>
      <c r="L46" s="72">
        <f>T46+U46</f>
        <v>500000</v>
      </c>
      <c r="M46" s="72"/>
      <c r="N46" s="1429"/>
      <c r="O46" s="104"/>
      <c r="P46" s="1441"/>
      <c r="Q46" s="1431"/>
      <c r="R46" s="1432">
        <v>716811.94</v>
      </c>
      <c r="S46" s="1433"/>
      <c r="T46" s="346">
        <v>500000</v>
      </c>
      <c r="U46" s="356"/>
    </row>
    <row r="47" spans="1:22" customHeight="1" ht="15" s="40" customFormat="1">
      <c r="C47" s="33" t="s">
        <v>843</v>
      </c>
      <c r="D47" s="33"/>
      <c r="E47" s="33"/>
      <c r="F47" s="33"/>
      <c r="G47" s="208" t="s">
        <v>100</v>
      </c>
      <c r="H47" s="230">
        <f>N47+O47+M47</f>
        <v>71400</v>
      </c>
      <c r="I47" s="230">
        <f>P47+Q47</f>
        <v>21900</v>
      </c>
      <c r="J47" s="230">
        <f>K47-I47</f>
        <v>228100</v>
      </c>
      <c r="K47" s="230">
        <f>R47+S47</f>
        <v>250000</v>
      </c>
      <c r="L47" s="72">
        <f>T47+U47</f>
        <v>230000</v>
      </c>
      <c r="M47" s="72"/>
      <c r="N47" s="1429"/>
      <c r="O47" s="104">
        <v>71400</v>
      </c>
      <c r="P47" s="1441"/>
      <c r="Q47" s="1431">
        <v>21900</v>
      </c>
      <c r="R47" s="1432">
        <v>120000</v>
      </c>
      <c r="S47" s="1433">
        <v>130000</v>
      </c>
      <c r="T47" s="346">
        <v>100000</v>
      </c>
      <c r="U47" s="356">
        <v>130000</v>
      </c>
    </row>
    <row r="48" spans="1:22" customHeight="1" ht="15" s="40" customFormat="1">
      <c r="C48" s="33" t="s">
        <v>832</v>
      </c>
      <c r="D48" s="33"/>
      <c r="E48" s="33"/>
      <c r="F48" s="33"/>
      <c r="G48" s="208" t="s">
        <v>102</v>
      </c>
      <c r="H48" s="230">
        <f>N48+O48+M48</f>
        <v>114985</v>
      </c>
      <c r="I48" s="230">
        <f>P48+Q48</f>
        <v>93020</v>
      </c>
      <c r="J48" s="230">
        <f>K48-I48</f>
        <v>526980</v>
      </c>
      <c r="K48" s="230">
        <f>R48+S48</f>
        <v>620000</v>
      </c>
      <c r="L48" s="72">
        <f>T48+U48</f>
        <v>600000</v>
      </c>
      <c r="M48" s="72"/>
      <c r="N48" s="1429">
        <v>49230</v>
      </c>
      <c r="O48" s="104">
        <v>65755</v>
      </c>
      <c r="P48" s="1441">
        <v>33350</v>
      </c>
      <c r="Q48" s="1431">
        <v>59670</v>
      </c>
      <c r="R48" s="1432">
        <v>120000</v>
      </c>
      <c r="S48" s="1433">
        <v>500000</v>
      </c>
      <c r="T48" s="346">
        <v>100000</v>
      </c>
      <c r="U48" s="356">
        <v>500000</v>
      </c>
    </row>
    <row r="49" spans="1:22" customHeight="1" ht="15" s="40" customFormat="1">
      <c r="C49" s="33" t="s">
        <v>122</v>
      </c>
      <c r="D49" s="33"/>
      <c r="E49" s="33"/>
      <c r="F49" s="21"/>
      <c r="G49" s="208" t="s">
        <v>123</v>
      </c>
      <c r="H49" s="230">
        <f>N49+O49+M49</f>
        <v>0</v>
      </c>
      <c r="I49" s="230">
        <f>P49+Q49</f>
        <v>0</v>
      </c>
      <c r="J49" s="230">
        <f>K49-I49</f>
        <v>16000</v>
      </c>
      <c r="K49" s="230">
        <f>R49+S49</f>
        <v>16000</v>
      </c>
      <c r="L49" s="72">
        <f>T49+U49</f>
        <v>16000</v>
      </c>
      <c r="M49" s="72"/>
      <c r="N49" s="1429"/>
      <c r="O49" s="100"/>
      <c r="P49" s="1445"/>
      <c r="Q49" s="95"/>
      <c r="R49" s="1432">
        <v>10000</v>
      </c>
      <c r="S49" s="1433">
        <v>6000</v>
      </c>
      <c r="T49" s="346">
        <v>10000</v>
      </c>
      <c r="U49" s="356">
        <v>6000</v>
      </c>
    </row>
    <row r="50" spans="1:22" customHeight="1" ht="15" s="40" customFormat="1">
      <c r="C50" s="33" t="s">
        <v>240</v>
      </c>
      <c r="D50" s="33"/>
      <c r="E50" s="33"/>
      <c r="F50" s="21"/>
      <c r="G50" s="208" t="s">
        <v>125</v>
      </c>
      <c r="H50" s="230">
        <f>N50+O50+M50</f>
        <v>4000</v>
      </c>
      <c r="I50" s="230">
        <v>0</v>
      </c>
      <c r="J50" s="230">
        <v>0</v>
      </c>
      <c r="K50" s="230">
        <v>0</v>
      </c>
      <c r="L50" s="72">
        <v>0</v>
      </c>
      <c r="M50" s="72">
        <v>4000</v>
      </c>
      <c r="N50" s="1429"/>
      <c r="O50" s="100"/>
      <c r="P50" s="1445"/>
      <c r="Q50" s="95"/>
      <c r="R50" s="1432"/>
      <c r="S50" s="1433"/>
      <c r="T50" s="346"/>
      <c r="U50" s="356"/>
    </row>
    <row r="51" spans="1:22" customHeight="1" ht="15" s="40" customFormat="1">
      <c r="C51" s="33" t="s">
        <v>126</v>
      </c>
      <c r="D51" s="33"/>
      <c r="E51" s="33"/>
      <c r="F51" s="21"/>
      <c r="G51" s="223" t="s">
        <v>127</v>
      </c>
      <c r="H51" s="230">
        <f>N51+O51+M51</f>
        <v>0</v>
      </c>
      <c r="I51" s="230">
        <f>P51+Q51</f>
        <v>0</v>
      </c>
      <c r="J51" s="230">
        <f>K51-I51</f>
        <v>220000</v>
      </c>
      <c r="K51" s="230">
        <f>R51+S51</f>
        <v>220000</v>
      </c>
      <c r="L51" s="72">
        <f>T51+U51</f>
        <v>220000</v>
      </c>
      <c r="M51" s="72"/>
      <c r="N51" s="1429"/>
      <c r="O51" s="100"/>
      <c r="P51" s="1445"/>
      <c r="Q51" s="95"/>
      <c r="R51" s="1432">
        <v>180000</v>
      </c>
      <c r="S51" s="1433">
        <v>40000</v>
      </c>
      <c r="T51" s="346">
        <v>180000</v>
      </c>
      <c r="U51" s="356">
        <v>40000</v>
      </c>
    </row>
    <row r="52" spans="1:22" customHeight="1" ht="15" s="40" customFormat="1">
      <c r="C52" s="42" t="s">
        <v>142</v>
      </c>
      <c r="D52" s="42"/>
      <c r="E52" s="33"/>
      <c r="F52" s="44"/>
      <c r="G52" s="223" t="s">
        <v>143</v>
      </c>
      <c r="H52" s="230">
        <f>N52+O52+M52</f>
        <v>218013.99</v>
      </c>
      <c r="I52" s="230">
        <f>P52+Q52</f>
        <v>158733.42</v>
      </c>
      <c r="J52" s="230">
        <f>K52-I52</f>
        <v>301420.36</v>
      </c>
      <c r="K52" s="230">
        <f>R52+S52</f>
        <v>460153.78</v>
      </c>
      <c r="L52" s="72">
        <f>T52+U52</f>
        <v>600000</v>
      </c>
      <c r="M52" s="72">
        <v>82083.29</v>
      </c>
      <c r="N52" s="1429">
        <v>99030</v>
      </c>
      <c r="O52" s="111">
        <v>36900.7</v>
      </c>
      <c r="P52" s="1445">
        <v>59558.42</v>
      </c>
      <c r="Q52" s="95">
        <v>99175</v>
      </c>
      <c r="R52" s="1432">
        <v>100000</v>
      </c>
      <c r="S52" s="1433">
        <v>360153.78</v>
      </c>
      <c r="T52" s="346">
        <v>200000</v>
      </c>
      <c r="U52" s="356">
        <v>400000</v>
      </c>
    </row>
    <row r="53" spans="1:22" customHeight="1" ht="15" s="40" customFormat="1">
      <c r="C53" s="42" t="s">
        <v>150</v>
      </c>
      <c r="D53" s="42"/>
      <c r="E53" s="33"/>
      <c r="F53" s="44"/>
      <c r="G53" s="223" t="s">
        <v>107</v>
      </c>
      <c r="H53" s="284">
        <f>N53+O53+M53</f>
        <v>10335650</v>
      </c>
      <c r="I53" s="284">
        <f>P53+Q53</f>
        <v>2230163.33</v>
      </c>
      <c r="J53" s="284">
        <f>K53-I53</f>
        <v>4819836.67</v>
      </c>
      <c r="K53" s="284">
        <f>R53+S53</f>
        <v>7050000</v>
      </c>
      <c r="L53" s="285">
        <f>T53+U53</f>
        <v>7222210.36</v>
      </c>
      <c r="M53" s="285">
        <f>4603000</f>
        <v>4603000</v>
      </c>
      <c r="N53" s="1429">
        <v>3007400</v>
      </c>
      <c r="O53" s="111">
        <v>2725250</v>
      </c>
      <c r="P53" s="1445">
        <v>1245600</v>
      </c>
      <c r="Q53" s="95">
        <v>984563.33</v>
      </c>
      <c r="R53" s="1432">
        <v>4050000</v>
      </c>
      <c r="S53" s="1433">
        <v>3000000</v>
      </c>
      <c r="T53" s="346">
        <v>4195555.58</v>
      </c>
      <c r="U53" s="356">
        <v>3026654.78</v>
      </c>
    </row>
    <row r="54" spans="1:22" customHeight="1" ht="15" s="10" customFormat="1">
      <c r="A54" s="956" t="s">
        <v>160</v>
      </c>
      <c r="B54" s="18"/>
      <c r="C54" s="28"/>
      <c r="D54" s="29"/>
      <c r="E54" s="27"/>
      <c r="F54" s="46"/>
      <c r="G54" s="238"/>
      <c r="H54" s="299">
        <f>SUM(H35:H53)</f>
        <v>12874247.57</v>
      </c>
      <c r="I54" s="299">
        <f>SUM(I35:I53)</f>
        <v>2997009.6</v>
      </c>
      <c r="J54" s="299">
        <f>SUM(J35:J53)</f>
        <v>9679476.12</v>
      </c>
      <c r="K54" s="299">
        <f>SUM(K35:K53)</f>
        <v>12676485.72</v>
      </c>
      <c r="L54" s="300">
        <f>SUM(L35:L53)</f>
        <v>12765410.36</v>
      </c>
      <c r="M54" s="299">
        <f>SUM(M35:M53)</f>
        <v>5119608.07</v>
      </c>
      <c r="N54" s="299">
        <f>SUM(N35:N53)</f>
        <v>3849882.9</v>
      </c>
      <c r="O54" s="1446">
        <f>SUM(O35:O53)</f>
        <v>3904756.6</v>
      </c>
      <c r="P54" s="299">
        <f>SUM(P35:P53)</f>
        <v>1557825.38</v>
      </c>
      <c r="Q54" s="299">
        <f>SUM(Q35:Q53)</f>
        <v>1439184.22</v>
      </c>
      <c r="R54" s="299">
        <f>SUM(R35:R53)</f>
        <v>7020331.94</v>
      </c>
      <c r="S54" s="299">
        <f>SUM(S35:S53)</f>
        <v>5656153.78</v>
      </c>
      <c r="T54" s="299">
        <f>SUM(T35:T53)</f>
        <v>6942755.58</v>
      </c>
      <c r="U54" s="299">
        <f>SUM(U35:U53)</f>
        <v>5822654.78</v>
      </c>
    </row>
    <row r="55" spans="1:22" customHeight="1" ht="15" s="10" customFormat="1">
      <c r="A55" s="543" t="s">
        <v>161</v>
      </c>
      <c r="B55" s="543"/>
      <c r="C55" s="543"/>
      <c r="D55" s="543"/>
      <c r="E55" s="543"/>
      <c r="F55" s="543"/>
      <c r="G55" s="545"/>
      <c r="H55" s="312">
        <f>H54+H33</f>
        <v>22965484.81</v>
      </c>
      <c r="I55" s="312">
        <f>I54+I33</f>
        <v>4110827.93</v>
      </c>
      <c r="J55" s="312">
        <f>J54+J33</f>
        <v>12869572.07</v>
      </c>
      <c r="K55" s="312">
        <f>K54+K33</f>
        <v>16980400</v>
      </c>
      <c r="L55" s="313">
        <f>L54+L33</f>
        <v>17177268</v>
      </c>
      <c r="M55" s="312">
        <f>M54+M33</f>
        <v>12867325.65</v>
      </c>
      <c r="N55" s="312">
        <f>N54+N33</f>
        <v>3962896.4</v>
      </c>
      <c r="O55" s="1447">
        <f>O54+O33</f>
        <v>6135262.76</v>
      </c>
      <c r="P55" s="312">
        <f>P54+P33</f>
        <v>1611815.17</v>
      </c>
      <c r="Q55" s="312">
        <f>Q54+Q33</f>
        <v>2499012.76</v>
      </c>
      <c r="R55" s="312">
        <f>R54+R33</f>
        <v>8310400</v>
      </c>
      <c r="S55" s="312">
        <f>S54+S33</f>
        <v>8670000</v>
      </c>
      <c r="T55" s="312">
        <f>T54+T33</f>
        <v>8257268</v>
      </c>
      <c r="U55" s="312">
        <f>U54+U33</f>
        <v>8920000</v>
      </c>
    </row>
    <row r="56" spans="1:22" customHeight="1" ht="15.95" s="10" customFormat="1">
      <c r="A56" s="6"/>
      <c r="B56" s="6"/>
      <c r="C56" s="6"/>
      <c r="D56" s="6"/>
      <c r="E56" s="6"/>
      <c r="F56" s="6"/>
      <c r="G56" s="243"/>
      <c r="H56" s="299"/>
      <c r="I56" s="299"/>
      <c r="J56" s="299"/>
      <c r="K56" s="299"/>
      <c r="L56" s="309"/>
      <c r="M56" s="309"/>
      <c r="N56" s="299"/>
      <c r="O56" s="309"/>
      <c r="P56" s="300"/>
      <c r="Q56" s="309"/>
      <c r="R56" s="300"/>
      <c r="S56" s="1446"/>
      <c r="T56" s="309"/>
      <c r="U56" s="309"/>
    </row>
    <row r="57" spans="1:22" customHeight="1" ht="18" s="3" customFormat="1">
      <c r="A57" s="58" t="s">
        <v>849</v>
      </c>
      <c r="B57" s="58"/>
      <c r="C57" s="24"/>
      <c r="D57" s="14"/>
      <c r="E57" s="14"/>
      <c r="F57" s="14"/>
      <c r="G57" s="244"/>
      <c r="H57" s="245"/>
      <c r="I57" s="245"/>
      <c r="J57" s="245"/>
      <c r="K57" s="231"/>
      <c r="L57" s="23"/>
      <c r="M57" s="23"/>
      <c r="N57" s="1448"/>
      <c r="O57" s="141"/>
      <c r="P57" s="1449"/>
      <c r="Q57" s="130"/>
      <c r="R57" s="1450"/>
      <c r="S57" s="1451"/>
      <c r="T57" s="346"/>
      <c r="U57" s="386"/>
    </row>
    <row r="58" spans="1:22" customHeight="1" ht="18" s="3" customFormat="1">
      <c r="A58" s="24"/>
      <c r="B58" s="24"/>
      <c r="C58" s="9" t="s">
        <v>163</v>
      </c>
      <c r="D58" s="14"/>
      <c r="E58" s="14"/>
      <c r="F58" s="14"/>
      <c r="G58" s="213" t="s">
        <v>164</v>
      </c>
      <c r="H58" s="1452">
        <f>N58+O58</f>
        <v>0</v>
      </c>
      <c r="I58" s="1452">
        <f>P58+Q58</f>
        <v>0</v>
      </c>
      <c r="J58" s="1452">
        <f>K58-I58</f>
        <v>180000</v>
      </c>
      <c r="K58" s="1452">
        <f>R58+S58</f>
        <v>180000</v>
      </c>
      <c r="L58" s="1453">
        <f>T58+U58</f>
        <v>280000</v>
      </c>
      <c r="M58" s="1453">
        <v>0</v>
      </c>
      <c r="N58" s="1454"/>
      <c r="O58" s="134"/>
      <c r="P58" s="1449"/>
      <c r="Q58" s="130"/>
      <c r="R58" s="1455">
        <v>100000</v>
      </c>
      <c r="S58" s="1456">
        <v>80000</v>
      </c>
      <c r="T58" s="346">
        <v>200000</v>
      </c>
      <c r="U58" s="386">
        <v>80000</v>
      </c>
    </row>
    <row r="59" spans="1:22" customHeight="1" ht="18" s="4" customFormat="1">
      <c r="A59" s="6" t="s">
        <v>172</v>
      </c>
      <c r="B59" s="6"/>
      <c r="C59" s="6"/>
      <c r="D59" s="6"/>
      <c r="E59" s="6"/>
      <c r="F59" s="6"/>
      <c r="G59" s="253"/>
      <c r="H59" s="299">
        <f>SUM(H58:H58)</f>
        <v>0</v>
      </c>
      <c r="I59" s="299">
        <f>SUM(I58:I58)</f>
        <v>0</v>
      </c>
      <c r="J59" s="299">
        <f>SUM(J58:J58)</f>
        <v>180000</v>
      </c>
      <c r="K59" s="299">
        <f>SUM(K58:K58)</f>
        <v>180000</v>
      </c>
      <c r="L59" s="300">
        <f>SUM(L58:L58)</f>
        <v>280000</v>
      </c>
      <c r="M59" s="299">
        <f>SUM(M58:M58)</f>
        <v>0</v>
      </c>
      <c r="N59" s="299">
        <f>SUM(N58:N58)</f>
        <v>0</v>
      </c>
      <c r="O59" s="309">
        <f>SUM(O58:O58)</f>
        <v>0</v>
      </c>
      <c r="P59" s="300">
        <f>SUM(P58:P58)</f>
        <v>0</v>
      </c>
      <c r="Q59" s="300">
        <f>SUM(Q58:Q58)</f>
        <v>0</v>
      </c>
      <c r="R59" s="300">
        <f>SUM(R58:R58)</f>
        <v>100000</v>
      </c>
      <c r="S59" s="300">
        <f>SUM(S58:S58)</f>
        <v>80000</v>
      </c>
      <c r="T59" s="300">
        <f>SUM(T58:T58)</f>
        <v>200000</v>
      </c>
      <c r="U59" s="300">
        <f>SUM(U58:U58)</f>
        <v>80000</v>
      </c>
    </row>
    <row r="60" spans="1:22" customHeight="1" ht="18" s="4" customFormat="1">
      <c r="A60" s="6"/>
      <c r="B60" s="6"/>
      <c r="C60" s="68"/>
      <c r="D60" s="6"/>
      <c r="E60" s="6"/>
      <c r="F60" s="6"/>
      <c r="G60" s="253"/>
      <c r="H60" s="226"/>
      <c r="I60" s="226"/>
      <c r="J60" s="226"/>
      <c r="K60" s="226"/>
      <c r="L60" s="80"/>
      <c r="M60" s="80"/>
      <c r="N60" s="1457"/>
      <c r="O60" s="9"/>
      <c r="P60" s="885"/>
      <c r="Q60" s="93"/>
      <c r="R60" s="1458"/>
      <c r="S60" s="1459"/>
      <c r="T60" s="346"/>
      <c r="U60" s="386"/>
    </row>
    <row r="61" spans="1:22" customHeight="1" ht="18" s="4" customFormat="1">
      <c r="A61" s="6" t="s">
        <v>181</v>
      </c>
      <c r="B61" s="6"/>
      <c r="C61" s="6"/>
      <c r="D61" s="6"/>
      <c r="E61" s="6"/>
      <c r="F61" s="6"/>
      <c r="G61" s="253"/>
      <c r="H61" s="310">
        <f>H59+H55</f>
        <v>22965484.81</v>
      </c>
      <c r="I61" s="310">
        <f>I59+I55</f>
        <v>4110827.93</v>
      </c>
      <c r="J61" s="310">
        <f>J59+J55</f>
        <v>13049572.07</v>
      </c>
      <c r="K61" s="310">
        <f>K59+K55</f>
        <v>17160400</v>
      </c>
      <c r="L61" s="311">
        <f>L59+L55</f>
        <v>17457268</v>
      </c>
      <c r="M61" s="310">
        <f>M59+M55</f>
        <v>12867325.65</v>
      </c>
      <c r="N61" s="310">
        <f>N59+N55</f>
        <v>3962896.4</v>
      </c>
      <c r="O61" s="1460">
        <f>O59+O55</f>
        <v>6135262.76</v>
      </c>
      <c r="P61" s="311">
        <f>P59+P55</f>
        <v>1611815.17</v>
      </c>
      <c r="Q61" s="311">
        <f>Q59+Q55</f>
        <v>2499012.76</v>
      </c>
      <c r="R61" s="311">
        <f>R59+R55</f>
        <v>8410400</v>
      </c>
      <c r="S61" s="311">
        <f>S59+S55</f>
        <v>8750000</v>
      </c>
      <c r="T61" s="311">
        <f>T59+T55</f>
        <v>8457268</v>
      </c>
      <c r="U61" s="311">
        <f>U59+U55</f>
        <v>9000000</v>
      </c>
    </row>
    <row r="62" spans="1:22" customHeight="1" ht="18" s="9" customFormat="1">
      <c r="A62" s="73"/>
      <c r="B62" s="73"/>
      <c r="C62" s="73"/>
      <c r="D62" s="73"/>
      <c r="E62" s="73"/>
      <c r="F62" s="73"/>
      <c r="G62" s="261"/>
      <c r="H62" s="261"/>
      <c r="I62" s="261"/>
      <c r="J62" s="261"/>
      <c r="K62" s="262"/>
      <c r="L62" s="203"/>
      <c r="M62" s="1461"/>
      <c r="N62" s="1457">
        <f>N61+O61</f>
        <v>10098159.16</v>
      </c>
      <c r="P62" s="953">
        <f>P61+Q61</f>
        <v>4110827.93</v>
      </c>
      <c r="Q62" s="93"/>
      <c r="R62" s="1455">
        <f>R61+S61</f>
        <v>17160400</v>
      </c>
      <c r="S62" s="605"/>
      <c r="T62" s="346">
        <f>T61+U61</f>
        <v>17457268</v>
      </c>
      <c r="U62" s="386"/>
    </row>
    <row r="63" spans="1:22" customHeight="1" ht="9.95" s="273" customFormat="1">
      <c r="A63" s="6"/>
      <c r="B63" s="6"/>
      <c r="G63" s="274"/>
      <c r="H63" s="274"/>
      <c r="N63" s="1462"/>
      <c r="P63" s="1463"/>
      <c r="R63" s="1463"/>
      <c r="S63" s="1464"/>
      <c r="T63" s="386"/>
      <c r="U63" s="386"/>
    </row>
    <row r="64" spans="1:22" customHeight="1" ht="18" s="9" customFormat="1">
      <c r="A64" s="9" t="s">
        <v>182</v>
      </c>
      <c r="I64" s="275"/>
      <c r="J64" s="275"/>
      <c r="K64" s="275"/>
      <c r="L64" s="275"/>
      <c r="M64" s="275"/>
      <c r="N64" s="532"/>
      <c r="P64" s="885"/>
      <c r="R64" s="953">
        <f>R62-P62</f>
        <v>13049572.07</v>
      </c>
      <c r="S64" s="605"/>
      <c r="T64" s="386"/>
      <c r="U64" s="386"/>
    </row>
    <row r="65" spans="1:22">
      <c r="N65" s="1457"/>
    </row>
    <row r="66" spans="1:22">
      <c r="N66" s="1457"/>
    </row>
    <row r="67" spans="1:22">
      <c r="N67" s="1457"/>
    </row>
    <row r="68" spans="1:22" customHeight="1" ht="18" s="11" customFormat="1">
      <c r="A68" s="1489"/>
      <c r="B68" s="1489"/>
      <c r="C68" s="1489"/>
      <c r="D68" s="1489"/>
      <c r="E68" s="388"/>
      <c r="F68" s="1489"/>
      <c r="G68" s="1489"/>
      <c r="H68" s="388"/>
      <c r="I68" s="1489"/>
      <c r="J68" s="1489"/>
      <c r="K68" s="1489"/>
      <c r="L68" s="1489"/>
      <c r="M68" s="317"/>
      <c r="N68" s="801"/>
      <c r="P68" s="1465"/>
      <c r="R68" s="1465"/>
      <c r="S68" s="1103"/>
      <c r="T68" s="386"/>
      <c r="U68" s="386"/>
    </row>
    <row r="69" spans="1:22" customHeight="1" ht="12" s="11" customFormat="1">
      <c r="A69" s="1468"/>
      <c r="B69" s="1468"/>
      <c r="C69" s="1468"/>
      <c r="D69" s="1468"/>
      <c r="E69" s="9"/>
      <c r="F69" s="9"/>
      <c r="G69" s="9"/>
      <c r="H69" s="9"/>
      <c r="I69" s="1468"/>
      <c r="J69" s="1468"/>
      <c r="K69" s="1507"/>
      <c r="L69" s="1507"/>
      <c r="M69" s="636"/>
      <c r="N69" s="801"/>
      <c r="P69" s="1465"/>
      <c r="R69" s="1465"/>
      <c r="S69" s="1103"/>
      <c r="T69" s="386"/>
      <c r="U69" s="386"/>
    </row>
    <row r="70" spans="1:22" customHeight="1" ht="12" s="9" customFormat="1">
      <c r="A70" s="1468"/>
      <c r="B70" s="1468"/>
      <c r="C70" s="1468"/>
      <c r="D70" s="1468"/>
      <c r="F70" s="1468"/>
      <c r="G70" s="1468"/>
      <c r="J70" s="1468"/>
      <c r="K70" s="1468"/>
      <c r="L70" s="1468"/>
      <c r="M70" s="320"/>
      <c r="N70" s="532"/>
      <c r="P70" s="885"/>
      <c r="R70" s="885"/>
      <c r="S70" s="605"/>
      <c r="T70" s="386"/>
      <c r="U70" s="386"/>
    </row>
    <row r="71" spans="1:22" customHeight="1" ht="20.1" s="9" customFormat="1">
      <c r="A71" s="7"/>
      <c r="B71" s="7"/>
      <c r="F71" s="7"/>
      <c r="G71" s="8"/>
      <c r="H71" s="147"/>
      <c r="I71" s="147"/>
      <c r="J71" s="147"/>
      <c r="L71" s="66"/>
      <c r="M71" s="66"/>
      <c r="N71" s="1457"/>
      <c r="P71" s="885"/>
      <c r="Q71" s="148"/>
      <c r="R71" s="1466"/>
      <c r="S71" s="605"/>
      <c r="T71" s="1467"/>
      <c r="U71" s="386"/>
    </row>
    <row r="72" spans="1:22" customHeight="1" ht="12" s="9" customFormat="1">
      <c r="A72" s="1512" t="s">
        <v>863</v>
      </c>
      <c r="B72" s="1512"/>
      <c r="C72" s="1512"/>
      <c r="D72" s="1512"/>
      <c r="E72" s="1512"/>
      <c r="F72" s="1468"/>
      <c r="G72" s="1468"/>
      <c r="H72" s="1468"/>
      <c r="I72" s="1468"/>
      <c r="J72" s="1468"/>
      <c r="K72" s="1468"/>
      <c r="L72" s="1468"/>
      <c r="M72" s="320"/>
      <c r="N72" s="532"/>
    </row>
    <row r="73" spans="1:22">
      <c r="A73" s="1519"/>
      <c r="B73" s="1519"/>
      <c r="C73" s="1519"/>
      <c r="D73" s="1519"/>
      <c r="E73" s="1519"/>
      <c r="F73" s="1520"/>
      <c r="G73" s="1519"/>
      <c r="H73" s="1519"/>
      <c r="I73" s="1519"/>
      <c r="J73" s="1519"/>
      <c r="K73" s="1521"/>
      <c r="L73" s="1521"/>
      <c r="N73" s="1457"/>
    </row>
    <row r="74" spans="1:22">
      <c r="N74" s="1457"/>
    </row>
    <row r="75" spans="1:22">
      <c r="N75" s="1457"/>
    </row>
    <row r="76" spans="1:22" customHeight="1" ht="18" s="11" customFormat="1">
      <c r="A76" s="1489" t="s">
        <v>186</v>
      </c>
      <c r="B76" s="1489"/>
      <c r="C76" s="1489"/>
      <c r="D76" s="1489"/>
      <c r="E76" s="1489"/>
      <c r="F76" s="1489"/>
      <c r="G76" s="1489"/>
      <c r="H76" s="1489"/>
      <c r="I76" s="1489"/>
      <c r="J76" s="1489"/>
      <c r="K76" s="1489"/>
      <c r="L76" s="1489"/>
      <c r="M76" s="317"/>
      <c r="N76" s="801"/>
      <c r="P76" s="1465"/>
      <c r="R76" s="1465"/>
      <c r="S76" s="1103"/>
      <c r="T76" s="386"/>
      <c r="U76" s="386"/>
    </row>
    <row r="77" spans="1:22" customHeight="1" ht="12" s="11" customFormat="1">
      <c r="A77" s="1468" t="s">
        <v>188</v>
      </c>
      <c r="B77" s="1468"/>
      <c r="C77" s="1468"/>
      <c r="D77" s="1468"/>
      <c r="E77" s="1468"/>
      <c r="F77" s="1468"/>
      <c r="G77" s="1468"/>
      <c r="H77" s="1468"/>
      <c r="I77" s="1468"/>
      <c r="J77" s="1468"/>
      <c r="K77" s="1468"/>
      <c r="L77" s="1468"/>
      <c r="M77" s="320"/>
      <c r="N77" s="801"/>
      <c r="T77" s="386"/>
      <c r="U77" s="386"/>
    </row>
    <row r="79" spans="1:22">
      <c r="G79" s="9" t="s">
        <v>191</v>
      </c>
      <c r="I79" s="77">
        <v>26593763.59</v>
      </c>
      <c r="J79" s="77"/>
      <c r="K79" s="386">
        <v>89805000</v>
      </c>
      <c r="L79" s="386">
        <v>90065000</v>
      </c>
      <c r="M79" s="386"/>
    </row>
    <row r="80" spans="1:22">
      <c r="G80" s="9" t="s">
        <v>192</v>
      </c>
      <c r="I80" s="77">
        <v>0</v>
      </c>
      <c r="J80" s="77"/>
      <c r="K80" s="386">
        <v>3942000</v>
      </c>
      <c r="L80" s="386">
        <v>3942000</v>
      </c>
      <c r="M80" s="386"/>
    </row>
    <row r="81" spans="1:22">
      <c r="G81" s="9" t="s">
        <v>193</v>
      </c>
      <c r="I81" s="77">
        <v>0</v>
      </c>
      <c r="J81" s="77"/>
      <c r="K81" s="386">
        <f>200000+60000</f>
        <v>260000</v>
      </c>
    </row>
    <row r="82" spans="1:22">
      <c r="I82" s="77">
        <f>I79+I80+I81+I61</f>
        <v>30704591.52</v>
      </c>
      <c r="J82" s="77">
        <f>J79+J80+J81+J61</f>
        <v>13049572.07</v>
      </c>
      <c r="K82" s="77">
        <f>K79+K80+K81+K61</f>
        <v>111167400</v>
      </c>
      <c r="L82" s="77">
        <f>L80+L79+K61</f>
        <v>111167400</v>
      </c>
      <c r="M82" s="77"/>
    </row>
    <row r="87" spans="1:22">
      <c r="K87" s="386">
        <f>K85+K81+K80</f>
        <v>4202000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2:E72"/>
    <mergeCell ref="F72:I72"/>
    <mergeCell ref="J72:L72"/>
    <mergeCell ref="A77:E77"/>
    <mergeCell ref="F77:I77"/>
    <mergeCell ref="J77:L77"/>
    <mergeCell ref="A73:E73"/>
    <mergeCell ref="F73:I73"/>
    <mergeCell ref="J73:L73"/>
    <mergeCell ref="A76:E76"/>
    <mergeCell ref="F76:I76"/>
    <mergeCell ref="J76:L76"/>
    <mergeCell ref="A69:D69"/>
    <mergeCell ref="I69:J69"/>
    <mergeCell ref="K69:L69"/>
    <mergeCell ref="A70:D70"/>
    <mergeCell ref="F70:G70"/>
    <mergeCell ref="J70:L70"/>
    <mergeCell ref="A15:F15"/>
    <mergeCell ref="A68:D68"/>
    <mergeCell ref="F68:G68"/>
    <mergeCell ref="I68:J68"/>
    <mergeCell ref="K68:L68"/>
    <mergeCell ref="M11:O13"/>
    <mergeCell ref="P11:Q13"/>
    <mergeCell ref="R11:S13"/>
    <mergeCell ref="T11:U13"/>
    <mergeCell ref="I13:I14"/>
    <mergeCell ref="J13:J14"/>
    <mergeCell ref="K13:K14"/>
    <mergeCell ref="A5:L5"/>
    <mergeCell ref="A6:J6"/>
    <mergeCell ref="A11:F14"/>
    <mergeCell ref="G11:G14"/>
    <mergeCell ref="H11:H14"/>
    <mergeCell ref="I11:K12"/>
    <mergeCell ref="L11:L14"/>
  </mergeCells>
  <printOptions gridLines="false" gridLinesSet="true"/>
  <pageMargins left="0.6" right="0.5" top="0.5" bottom="0.5" header="0.17" footer="0.2"/>
  <pageSetup paperSize="14" orientation="landscape" scale="10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CMO 2023 12-09-2022</vt:lpstr>
      <vt:lpstr>PEACE &amp; ORDER SUM 12-09-2022</vt:lpstr>
      <vt:lpstr>Aid To Component</vt:lpstr>
      <vt:lpstr>SP2023 12-09-2022</vt:lpstr>
      <vt:lpstr>CTO2023</vt:lpstr>
      <vt:lpstr>Assessor-FINAL</vt:lpstr>
      <vt:lpstr>ACCOUNTING 2023</vt:lpstr>
      <vt:lpstr>Budget FINAL</vt:lpstr>
      <vt:lpstr>CPDO-FINAL (2)</vt:lpstr>
      <vt:lpstr>CEO-FINAL</vt:lpstr>
      <vt:lpstr>LEP 20% RECAP FINAL</vt:lpstr>
      <vt:lpstr>CHO FINAL doctors</vt:lpstr>
      <vt:lpstr>LCR FINAL</vt:lpstr>
      <vt:lpstr>ADMINISTRATOR 2023</vt:lpstr>
      <vt:lpstr>Legal-AO</vt:lpstr>
      <vt:lpstr>Veterinary 2022</vt:lpstr>
      <vt:lpstr>CSWD 2023</vt:lpstr>
      <vt:lpstr>GSO Admin merge ao</vt:lpstr>
      <vt:lpstr>AGRI AO</vt:lpstr>
      <vt:lpstr>ENRO2023</vt:lpstr>
      <vt:lpstr>CDRRMO FINAL</vt:lpstr>
      <vt:lpstr>LDRRMF SUM 12-09-2022</vt:lpstr>
      <vt:lpstr>TOURISM 2023</vt:lpstr>
      <vt:lpstr>HRMO 2023</vt:lpstr>
      <vt:lpstr>MARKET 2023</vt:lpstr>
      <vt:lpstr>TERMINAL 2023</vt:lpstr>
      <vt:lpstr>SLAUGHETER 2023</vt:lpstr>
      <vt:lpstr>GENERAL FUND</vt:lpstr>
      <vt:lpstr>ECONOMIC ENT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</dc:creator>
  <cp:lastModifiedBy>Angeline</cp:lastModifiedBy>
  <dcterms:created xsi:type="dcterms:W3CDTF">1999-06-21T11:06:09+08:00</dcterms:created>
  <dcterms:modified xsi:type="dcterms:W3CDTF">2023-05-31T14:45:59+08:00</dcterms:modified>
  <dc:title>CERTIFIED STATEMENT OF INCOME &amp; EXPENDITURES(151-A)</dc:title>
  <dc:description/>
  <dc:subject/>
  <cp:keywords/>
  <cp:category/>
</cp:coreProperties>
</file>